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48" yWindow="780" windowWidth="20616" windowHeight="11640" firstSheet="11" activeTab="15"/>
  </bookViews>
  <sheets>
    <sheet name="European Moguls Singles Q1" sheetId="14" r:id="rId1"/>
    <sheet name="European Moguls Q2" sheetId="32" r:id="rId2"/>
    <sheet name="Eueopean Moguls F1" sheetId="33" r:id="rId3"/>
    <sheet name="European Moguls F2" sheetId="34" r:id="rId4"/>
    <sheet name="European FIS Moguls Singles" sheetId="43" r:id="rId5"/>
    <sheet name="British Moguls Q1" sheetId="35" r:id="rId6"/>
    <sheet name="British Moguls Q2" sheetId="36" r:id="rId7"/>
    <sheet name="British Moguls F1" sheetId="37" r:id="rId8"/>
    <sheet name="British Moguls F2" sheetId="38" r:id="rId9"/>
    <sheet name="British Moguls FIS Version" sheetId="44" r:id="rId10"/>
    <sheet name="European Duals Qualification" sheetId="11" r:id="rId11"/>
    <sheet name="European Duals Men" sheetId="39" r:id="rId12"/>
    <sheet name="Eueopean Duals Ladies" sheetId="13" r:id="rId13"/>
    <sheet name="British Duals Qualification" sheetId="40" r:id="rId14"/>
    <sheet name="British Duals Men" sheetId="41" r:id="rId15"/>
    <sheet name="British Duals Ladies" sheetId="42" r:id="rId16"/>
    <sheet name="MogulsDD" sheetId="12" r:id="rId17"/>
  </sheets>
  <externalReferences>
    <externalReference r:id="rId18"/>
  </externalReferences>
  <calcPr calcId="124519"/>
</workbook>
</file>

<file path=xl/calcChain.xml><?xml version="1.0" encoding="utf-8"?>
<calcChain xmlns="http://schemas.openxmlformats.org/spreadsheetml/2006/main">
  <c r="V30" i="44"/>
  <c r="U30"/>
  <c r="T30"/>
  <c r="V29"/>
  <c r="U29"/>
  <c r="T29"/>
  <c r="V28"/>
  <c r="U28"/>
  <c r="T28"/>
  <c r="V27"/>
  <c r="U27"/>
  <c r="T27"/>
  <c r="V26"/>
  <c r="U26"/>
  <c r="T26"/>
  <c r="W25"/>
  <c r="V25"/>
  <c r="U25"/>
  <c r="T25"/>
  <c r="W24"/>
  <c r="V24"/>
  <c r="U24"/>
  <c r="T24"/>
  <c r="W23"/>
  <c r="V23"/>
  <c r="U23"/>
  <c r="T23"/>
  <c r="W22"/>
  <c r="V22"/>
  <c r="U22"/>
  <c r="T22"/>
  <c r="V18"/>
  <c r="U18"/>
  <c r="T18"/>
  <c r="V17"/>
  <c r="U17"/>
  <c r="T17"/>
  <c r="W16"/>
  <c r="V16"/>
  <c r="U16"/>
  <c r="T16"/>
  <c r="W15"/>
  <c r="V15"/>
  <c r="U15"/>
  <c r="T15"/>
  <c r="W14"/>
  <c r="V14"/>
  <c r="U14"/>
  <c r="T14"/>
  <c r="W13"/>
  <c r="A13" s="1"/>
  <c r="V13"/>
  <c r="U13"/>
  <c r="T13"/>
  <c r="V31" i="43"/>
  <c r="U31"/>
  <c r="T31"/>
  <c r="V30"/>
  <c r="U30"/>
  <c r="T30"/>
  <c r="V29"/>
  <c r="U29"/>
  <c r="T29"/>
  <c r="V28"/>
  <c r="U28"/>
  <c r="T28"/>
  <c r="V27"/>
  <c r="U27"/>
  <c r="T27"/>
  <c r="V26"/>
  <c r="U26"/>
  <c r="T26"/>
  <c r="W25"/>
  <c r="V25"/>
  <c r="U25"/>
  <c r="T25"/>
  <c r="W24"/>
  <c r="V24"/>
  <c r="U24"/>
  <c r="T24"/>
  <c r="W23"/>
  <c r="V23"/>
  <c r="U23"/>
  <c r="T23"/>
  <c r="W22"/>
  <c r="V22"/>
  <c r="U22"/>
  <c r="T22"/>
  <c r="V18"/>
  <c r="U18"/>
  <c r="T18"/>
  <c r="V17"/>
  <c r="U17"/>
  <c r="T17"/>
  <c r="W16"/>
  <c r="V16"/>
  <c r="U16"/>
  <c r="T16"/>
  <c r="W15"/>
  <c r="V15"/>
  <c r="U15"/>
  <c r="T15"/>
  <c r="W14"/>
  <c r="V14"/>
  <c r="U14"/>
  <c r="T14"/>
  <c r="W13"/>
  <c r="A16" s="1"/>
  <c r="V13"/>
  <c r="U13"/>
  <c r="T13"/>
  <c r="U50" i="4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49" i="11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51" i="38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52" i="34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51" i="38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31" i="40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30"/>
  <c r="V31" i="1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30"/>
  <c r="V13"/>
  <c r="V14"/>
  <c r="V15"/>
  <c r="V16"/>
  <c r="V17"/>
  <c r="V18"/>
  <c r="V19"/>
  <c r="V20"/>
  <c r="V21"/>
  <c r="V22"/>
  <c r="V23"/>
  <c r="V24"/>
  <c r="V25"/>
  <c r="V26"/>
  <c r="T31" i="40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14"/>
  <c r="U14"/>
  <c r="V14"/>
  <c r="T15"/>
  <c r="U15"/>
  <c r="V15"/>
  <c r="T16"/>
  <c r="U16"/>
  <c r="V16"/>
  <c r="T17"/>
  <c r="U17"/>
  <c r="V17"/>
  <c r="T18"/>
  <c r="U18"/>
  <c r="V18"/>
  <c r="T19"/>
  <c r="U19"/>
  <c r="V19"/>
  <c r="T20"/>
  <c r="U20"/>
  <c r="V20"/>
  <c r="T21"/>
  <c r="U21"/>
  <c r="V21"/>
  <c r="T22"/>
  <c r="U22"/>
  <c r="V22"/>
  <c r="T23"/>
  <c r="U23"/>
  <c r="V23"/>
  <c r="T24"/>
  <c r="U24"/>
  <c r="V24"/>
  <c r="T25"/>
  <c r="U25"/>
  <c r="V25"/>
  <c r="T26"/>
  <c r="U26"/>
  <c r="V26"/>
  <c r="T30"/>
  <c r="V13"/>
  <c r="U13"/>
  <c r="T13"/>
  <c r="T31" i="1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14"/>
  <c r="U14"/>
  <c r="T15"/>
  <c r="U15"/>
  <c r="T16"/>
  <c r="U16"/>
  <c r="T17"/>
  <c r="U17"/>
  <c r="T18"/>
  <c r="U18"/>
  <c r="T19"/>
  <c r="U19"/>
  <c r="T20"/>
  <c r="U20"/>
  <c r="T21"/>
  <c r="U21"/>
  <c r="T22"/>
  <c r="U22"/>
  <c r="T23"/>
  <c r="U23"/>
  <c r="T24"/>
  <c r="U24"/>
  <c r="T25"/>
  <c r="U25"/>
  <c r="T26"/>
  <c r="U26"/>
  <c r="T30"/>
  <c r="U13"/>
  <c r="T13"/>
  <c r="T52" i="34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V26"/>
  <c r="U26"/>
  <c r="T26"/>
  <c r="V25"/>
  <c r="U25"/>
  <c r="T25"/>
  <c r="V24"/>
  <c r="U24"/>
  <c r="T24"/>
  <c r="V23"/>
  <c r="U23"/>
  <c r="T23"/>
  <c r="V22"/>
  <c r="U22"/>
  <c r="T22"/>
  <c r="V21"/>
  <c r="U21"/>
  <c r="T21"/>
  <c r="V20"/>
  <c r="U20"/>
  <c r="T20"/>
  <c r="V19"/>
  <c r="U19"/>
  <c r="T19"/>
  <c r="V18"/>
  <c r="U18"/>
  <c r="T18"/>
  <c r="V17"/>
  <c r="U17"/>
  <c r="T17"/>
  <c r="V16"/>
  <c r="U16"/>
  <c r="T16"/>
  <c r="V15"/>
  <c r="U15"/>
  <c r="T15"/>
  <c r="V14"/>
  <c r="U14"/>
  <c r="T14"/>
  <c r="V13"/>
  <c r="U13"/>
  <c r="T13"/>
  <c r="T51" i="38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V26"/>
  <c r="U26"/>
  <c r="T26"/>
  <c r="V25"/>
  <c r="U25"/>
  <c r="T25"/>
  <c r="V24"/>
  <c r="U24"/>
  <c r="T24"/>
  <c r="V23"/>
  <c r="U23"/>
  <c r="T23"/>
  <c r="V22"/>
  <c r="U22"/>
  <c r="T22"/>
  <c r="V21"/>
  <c r="U21"/>
  <c r="T21"/>
  <c r="V20"/>
  <c r="U20"/>
  <c r="T20"/>
  <c r="V19"/>
  <c r="U19"/>
  <c r="T19"/>
  <c r="V18"/>
  <c r="U18"/>
  <c r="T18"/>
  <c r="V17"/>
  <c r="U17"/>
  <c r="T17"/>
  <c r="V16"/>
  <c r="U16"/>
  <c r="T16"/>
  <c r="V15"/>
  <c r="U15"/>
  <c r="T15"/>
  <c r="V14"/>
  <c r="U14"/>
  <c r="T14"/>
  <c r="V13"/>
  <c r="U13"/>
  <c r="T13"/>
  <c r="AE18" i="41"/>
  <c r="Z14" i="42"/>
  <c r="Z19"/>
  <c r="Z16" i="41"/>
  <c r="Z13"/>
  <c r="U16" i="42"/>
  <c r="U14"/>
  <c r="U19" i="41"/>
  <c r="U18"/>
  <c r="U15"/>
  <c r="U14"/>
  <c r="P20" i="42"/>
  <c r="P18"/>
  <c r="P16"/>
  <c r="P14"/>
  <c r="P27" i="41"/>
  <c r="P25"/>
  <c r="P22"/>
  <c r="P20"/>
  <c r="P18"/>
  <c r="P15"/>
  <c r="P14"/>
  <c r="K26" i="42"/>
  <c r="K23"/>
  <c r="K19"/>
  <c r="K18"/>
  <c r="K16"/>
  <c r="K28" i="41"/>
  <c r="K41"/>
  <c r="K31"/>
  <c r="J28" i="42"/>
  <c r="I28"/>
  <c r="I27"/>
  <c r="J27" s="1"/>
  <c r="I26"/>
  <c r="J26" s="1"/>
  <c r="I25"/>
  <c r="J25" s="1"/>
  <c r="I24"/>
  <c r="J24" s="1"/>
  <c r="I23"/>
  <c r="J23" s="1"/>
  <c r="I22"/>
  <c r="J22" s="1"/>
  <c r="I21"/>
  <c r="J21" s="1"/>
  <c r="N20"/>
  <c r="O20" s="1"/>
  <c r="I20"/>
  <c r="J20" s="1"/>
  <c r="Y19"/>
  <c r="N19"/>
  <c r="O19" s="1"/>
  <c r="I19"/>
  <c r="J19" s="1"/>
  <c r="Y18"/>
  <c r="N18"/>
  <c r="O18" s="1"/>
  <c r="I18"/>
  <c r="J18" s="1"/>
  <c r="N17"/>
  <c r="O17" s="1"/>
  <c r="I17"/>
  <c r="J17" s="1"/>
  <c r="S16"/>
  <c r="T16" s="1"/>
  <c r="N16"/>
  <c r="O16" s="1"/>
  <c r="I16"/>
  <c r="J16" s="1"/>
  <c r="S15"/>
  <c r="T15" s="1"/>
  <c r="N15"/>
  <c r="O15" s="1"/>
  <c r="I15"/>
  <c r="J15" s="1"/>
  <c r="X14"/>
  <c r="Y14" s="1"/>
  <c r="S14"/>
  <c r="T14" s="1"/>
  <c r="N14"/>
  <c r="O14" s="1"/>
  <c r="I14"/>
  <c r="J14" s="1"/>
  <c r="X13"/>
  <c r="Y13" s="1"/>
  <c r="S13"/>
  <c r="T13" s="1"/>
  <c r="N13"/>
  <c r="O13" s="1"/>
  <c r="I13"/>
  <c r="J13" s="1"/>
  <c r="I44" i="41"/>
  <c r="J44" s="1"/>
  <c r="E44"/>
  <c r="D44"/>
  <c r="C44"/>
  <c r="B44"/>
  <c r="I14" s="1"/>
  <c r="J14" s="1"/>
  <c r="E43"/>
  <c r="D43"/>
  <c r="C43"/>
  <c r="B43"/>
  <c r="I43" s="1"/>
  <c r="J43" s="1"/>
  <c r="I42"/>
  <c r="J42" s="1"/>
  <c r="E42"/>
  <c r="D42"/>
  <c r="C42"/>
  <c r="B42"/>
  <c r="I29" s="1"/>
  <c r="J29" s="1"/>
  <c r="I41"/>
  <c r="J41" s="1"/>
  <c r="E41"/>
  <c r="D41"/>
  <c r="C41"/>
  <c r="B41"/>
  <c r="I40"/>
  <c r="J40" s="1"/>
  <c r="E40"/>
  <c r="D40"/>
  <c r="C40"/>
  <c r="B40"/>
  <c r="E39"/>
  <c r="D39"/>
  <c r="C39"/>
  <c r="B39"/>
  <c r="I38"/>
  <c r="J38" s="1"/>
  <c r="E38"/>
  <c r="D38"/>
  <c r="C38"/>
  <c r="B38"/>
  <c r="I37" s="1"/>
  <c r="J37" s="1"/>
  <c r="E37"/>
  <c r="D37"/>
  <c r="C37"/>
  <c r="B37"/>
  <c r="I36"/>
  <c r="J36" s="1"/>
  <c r="E36"/>
  <c r="D36"/>
  <c r="C36"/>
  <c r="B36"/>
  <c r="E35"/>
  <c r="D35"/>
  <c r="C35"/>
  <c r="B35"/>
  <c r="I39" s="1"/>
  <c r="J39" s="1"/>
  <c r="I34"/>
  <c r="J34" s="1"/>
  <c r="E34"/>
  <c r="D34"/>
  <c r="C34"/>
  <c r="B34"/>
  <c r="I35" s="1"/>
  <c r="J35" s="1"/>
  <c r="I33"/>
  <c r="J33" s="1"/>
  <c r="E33"/>
  <c r="I24"/>
  <c r="J24" s="1"/>
  <c r="J32"/>
  <c r="I32"/>
  <c r="I31"/>
  <c r="J31" s="1"/>
  <c r="I30"/>
  <c r="J30" s="1"/>
  <c r="N28"/>
  <c r="O28" s="1"/>
  <c r="I28"/>
  <c r="J28" s="1"/>
  <c r="N27"/>
  <c r="O27" s="1"/>
  <c r="J27"/>
  <c r="I27"/>
  <c r="N26"/>
  <c r="O26" s="1"/>
  <c r="I26"/>
  <c r="J26" s="1"/>
  <c r="N25"/>
  <c r="O25" s="1"/>
  <c r="I25"/>
  <c r="J25" s="1"/>
  <c r="N24"/>
  <c r="O24" s="1"/>
  <c r="N23"/>
  <c r="O23" s="1"/>
  <c r="J23"/>
  <c r="I23"/>
  <c r="N22"/>
  <c r="O22" s="1"/>
  <c r="I22"/>
  <c r="J22" s="1"/>
  <c r="N21"/>
  <c r="O21" s="1"/>
  <c r="I21"/>
  <c r="J21" s="1"/>
  <c r="S20"/>
  <c r="T20" s="1"/>
  <c r="N20"/>
  <c r="O20" s="1"/>
  <c r="I20"/>
  <c r="J20" s="1"/>
  <c r="AD19"/>
  <c r="S19"/>
  <c r="T19" s="1"/>
  <c r="N19"/>
  <c r="O19" s="1"/>
  <c r="I19"/>
  <c r="J19" s="1"/>
  <c r="AD18"/>
  <c r="S18"/>
  <c r="T18" s="1"/>
  <c r="N18"/>
  <c r="O18" s="1"/>
  <c r="I18"/>
  <c r="J18" s="1"/>
  <c r="S17"/>
  <c r="T17" s="1"/>
  <c r="O17"/>
  <c r="N17"/>
  <c r="I17"/>
  <c r="J17" s="1"/>
  <c r="X16"/>
  <c r="Y16" s="1"/>
  <c r="S16"/>
  <c r="T16" s="1"/>
  <c r="N16"/>
  <c r="O16" s="1"/>
  <c r="I16"/>
  <c r="J16" s="1"/>
  <c r="X15"/>
  <c r="Y15" s="1"/>
  <c r="S15"/>
  <c r="T15" s="1"/>
  <c r="N15"/>
  <c r="O15" s="1"/>
  <c r="I15"/>
  <c r="J15" s="1"/>
  <c r="AC14"/>
  <c r="AD14" s="1"/>
  <c r="X14"/>
  <c r="Y14" s="1"/>
  <c r="S14"/>
  <c r="T14" s="1"/>
  <c r="N14"/>
  <c r="O14" s="1"/>
  <c r="AD13"/>
  <c r="AC13"/>
  <c r="Y13"/>
  <c r="X13"/>
  <c r="S13"/>
  <c r="T13" s="1"/>
  <c r="N13"/>
  <c r="O13" s="1"/>
  <c r="I13"/>
  <c r="J13" s="1"/>
  <c r="W42" i="40"/>
  <c r="W45"/>
  <c r="W44"/>
  <c r="W30"/>
  <c r="W49"/>
  <c r="K50"/>
  <c r="W50" s="1"/>
  <c r="W40"/>
  <c r="W37"/>
  <c r="W39"/>
  <c r="W48"/>
  <c r="W35"/>
  <c r="W33"/>
  <c r="W13"/>
  <c r="W21"/>
  <c r="W24"/>
  <c r="W18"/>
  <c r="W15"/>
  <c r="W43"/>
  <c r="W47"/>
  <c r="W32"/>
  <c r="W41"/>
  <c r="W38"/>
  <c r="W46"/>
  <c r="W31"/>
  <c r="W34"/>
  <c r="W36"/>
  <c r="W23"/>
  <c r="W16"/>
  <c r="W20"/>
  <c r="W22"/>
  <c r="W19"/>
  <c r="W17"/>
  <c r="W25"/>
  <c r="W26"/>
  <c r="W14"/>
  <c r="AE14" i="39"/>
  <c r="AE19"/>
  <c r="Z14" i="13"/>
  <c r="Z19"/>
  <c r="Z16" i="39"/>
  <c r="U15" i="13"/>
  <c r="U14"/>
  <c r="U20" i="39"/>
  <c r="U18"/>
  <c r="U15"/>
  <c r="U14"/>
  <c r="P19" i="13"/>
  <c r="P18"/>
  <c r="P15"/>
  <c r="P14"/>
  <c r="P28" i="39"/>
  <c r="P26"/>
  <c r="P24"/>
  <c r="P22"/>
  <c r="P20"/>
  <c r="P17"/>
  <c r="P15"/>
  <c r="P14"/>
  <c r="K25" i="13"/>
  <c r="K22"/>
  <c r="K20"/>
  <c r="K17"/>
  <c r="K16"/>
  <c r="K32" i="39"/>
  <c r="K28"/>
  <c r="E44"/>
  <c r="D44"/>
  <c r="C44"/>
  <c r="B44"/>
  <c r="E43"/>
  <c r="D43"/>
  <c r="C43"/>
  <c r="B43"/>
  <c r="I43" s="1"/>
  <c r="E42"/>
  <c r="D42"/>
  <c r="C42"/>
  <c r="B42"/>
  <c r="I29" s="1"/>
  <c r="E41"/>
  <c r="D41"/>
  <c r="C41"/>
  <c r="B41"/>
  <c r="I26" s="1"/>
  <c r="E40"/>
  <c r="D40"/>
  <c r="C40"/>
  <c r="B40"/>
  <c r="I22" s="1"/>
  <c r="E39"/>
  <c r="D39"/>
  <c r="C39"/>
  <c r="B39"/>
  <c r="I33" s="1"/>
  <c r="E38"/>
  <c r="D38"/>
  <c r="C38"/>
  <c r="B38"/>
  <c r="I37" s="1"/>
  <c r="E37"/>
  <c r="D37"/>
  <c r="C37"/>
  <c r="B37"/>
  <c r="I20" s="1"/>
  <c r="E36"/>
  <c r="D36"/>
  <c r="C36"/>
  <c r="B36"/>
  <c r="I18" s="1"/>
  <c r="E35"/>
  <c r="D35"/>
  <c r="C35"/>
  <c r="B35"/>
  <c r="I39" s="1"/>
  <c r="E34"/>
  <c r="D34"/>
  <c r="C34"/>
  <c r="B34"/>
  <c r="I35" s="1"/>
  <c r="E33"/>
  <c r="D33"/>
  <c r="C33"/>
  <c r="B33"/>
  <c r="I27"/>
  <c r="I31"/>
  <c r="I41"/>
  <c r="I15"/>
  <c r="N28"/>
  <c r="I16"/>
  <c r="N27"/>
  <c r="I42"/>
  <c r="N26"/>
  <c r="I32"/>
  <c r="N25"/>
  <c r="I28"/>
  <c r="N24"/>
  <c r="I24"/>
  <c r="I23"/>
  <c r="N23"/>
  <c r="I36"/>
  <c r="N22"/>
  <c r="I40"/>
  <c r="N21"/>
  <c r="I17"/>
  <c r="S20"/>
  <c r="N20"/>
  <c r="I19"/>
  <c r="S19"/>
  <c r="N19"/>
  <c r="I38"/>
  <c r="S18"/>
  <c r="N18"/>
  <c r="I34"/>
  <c r="S17"/>
  <c r="N17"/>
  <c r="I21"/>
  <c r="X16"/>
  <c r="S16"/>
  <c r="N16"/>
  <c r="I25"/>
  <c r="X15"/>
  <c r="S15"/>
  <c r="N15"/>
  <c r="I30"/>
  <c r="AC14"/>
  <c r="X14"/>
  <c r="S14"/>
  <c r="N14"/>
  <c r="I14"/>
  <c r="I44"/>
  <c r="AC13"/>
  <c r="X13"/>
  <c r="S13"/>
  <c r="N13"/>
  <c r="A22" i="44" l="1"/>
  <c r="A25"/>
  <c r="A15"/>
  <c r="A24"/>
  <c r="A14"/>
  <c r="A16"/>
  <c r="A23"/>
  <c r="A22" i="43"/>
  <c r="A25"/>
  <c r="A15"/>
  <c r="A14"/>
  <c r="A24"/>
  <c r="A13"/>
  <c r="A23"/>
  <c r="A49" i="40"/>
  <c r="A42"/>
  <c r="A33"/>
  <c r="A31"/>
  <c r="A32"/>
  <c r="A38"/>
  <c r="A37"/>
  <c r="A44"/>
  <c r="A34"/>
  <c r="A45"/>
  <c r="A30"/>
  <c r="A35"/>
  <c r="A36"/>
  <c r="A40"/>
  <c r="A41"/>
  <c r="A43"/>
  <c r="A46"/>
  <c r="A15"/>
  <c r="A17"/>
  <c r="A26"/>
  <c r="A20"/>
  <c r="A25"/>
  <c r="A22"/>
  <c r="A21"/>
  <c r="A19"/>
  <c r="A13"/>
  <c r="A18"/>
  <c r="A24"/>
  <c r="A16"/>
  <c r="A23"/>
  <c r="A14"/>
  <c r="A48"/>
  <c r="A39"/>
  <c r="A50"/>
  <c r="A47"/>
  <c r="J44" i="39"/>
  <c r="J29"/>
  <c r="T13"/>
  <c r="J19"/>
  <c r="J35"/>
  <c r="J18"/>
  <c r="J25"/>
  <c r="J23"/>
  <c r="J41"/>
  <c r="AD19"/>
  <c r="O13"/>
  <c r="T14"/>
  <c r="Y16"/>
  <c r="J17"/>
  <c r="J21"/>
  <c r="J36"/>
  <c r="J28"/>
  <c r="J42"/>
  <c r="J27"/>
  <c r="J31"/>
  <c r="J33"/>
  <c r="J43"/>
  <c r="Y13"/>
  <c r="J30"/>
  <c r="O15"/>
  <c r="J34"/>
  <c r="J38"/>
  <c r="J15"/>
  <c r="J14"/>
  <c r="AD14"/>
  <c r="O16"/>
  <c r="T18"/>
  <c r="O20"/>
  <c r="J40"/>
  <c r="J22"/>
  <c r="J24"/>
  <c r="J32"/>
  <c r="J26"/>
  <c r="J16"/>
  <c r="J20"/>
  <c r="J37"/>
  <c r="AD13"/>
  <c r="O28"/>
  <c r="Y15"/>
  <c r="O17"/>
  <c r="O18"/>
  <c r="T19"/>
  <c r="J39"/>
  <c r="O14"/>
  <c r="Y14"/>
  <c r="T15"/>
  <c r="T16"/>
  <c r="T17"/>
  <c r="T20"/>
  <c r="O21"/>
  <c r="O22"/>
  <c r="O23"/>
  <c r="O24"/>
  <c r="O25"/>
  <c r="O26"/>
  <c r="O27"/>
  <c r="I13"/>
  <c r="J13" s="1"/>
  <c r="AD18"/>
  <c r="O19"/>
  <c r="W30" i="38" l="1"/>
  <c r="W31"/>
  <c r="W32"/>
  <c r="W33"/>
  <c r="W35"/>
  <c r="W34"/>
  <c r="W13"/>
  <c r="W14"/>
  <c r="W16"/>
  <c r="W18"/>
  <c r="W15"/>
  <c r="W17"/>
  <c r="T28" i="37"/>
  <c r="T29"/>
  <c r="T31"/>
  <c r="T30"/>
  <c r="T32"/>
  <c r="T34"/>
  <c r="T33"/>
  <c r="T35"/>
  <c r="T36"/>
  <c r="T39"/>
  <c r="T38"/>
  <c r="T37"/>
  <c r="T13"/>
  <c r="T14"/>
  <c r="T20"/>
  <c r="T17"/>
  <c r="T15"/>
  <c r="T16"/>
  <c r="T24"/>
  <c r="T18"/>
  <c r="T23"/>
  <c r="T22"/>
  <c r="T21"/>
  <c r="T19"/>
  <c r="T40" i="36"/>
  <c r="T26"/>
  <c r="T24"/>
  <c r="T27"/>
  <c r="T25"/>
  <c r="T30"/>
  <c r="T28"/>
  <c r="T29"/>
  <c r="T31"/>
  <c r="T38"/>
  <c r="T36"/>
  <c r="T34"/>
  <c r="T32"/>
  <c r="T33"/>
  <c r="T35"/>
  <c r="T39"/>
  <c r="T37"/>
  <c r="T13"/>
  <c r="T18"/>
  <c r="T16"/>
  <c r="T20"/>
  <c r="T14"/>
  <c r="T19"/>
  <c r="T15"/>
  <c r="T17"/>
  <c r="T53" i="35"/>
  <c r="T50"/>
  <c r="T45"/>
  <c r="T37"/>
  <c r="T32"/>
  <c r="T39"/>
  <c r="T49"/>
  <c r="T36"/>
  <c r="T35"/>
  <c r="T38"/>
  <c r="T43"/>
  <c r="T51"/>
  <c r="T42"/>
  <c r="T41"/>
  <c r="T40"/>
  <c r="T48"/>
  <c r="T47"/>
  <c r="T31"/>
  <c r="T52"/>
  <c r="T34"/>
  <c r="T46"/>
  <c r="T33"/>
  <c r="T44"/>
  <c r="T27"/>
  <c r="T25"/>
  <c r="T19"/>
  <c r="T13"/>
  <c r="T26"/>
  <c r="T15"/>
  <c r="T24"/>
  <c r="T23"/>
  <c r="T14"/>
  <c r="T20"/>
  <c r="T21"/>
  <c r="T18"/>
  <c r="T16"/>
  <c r="T22"/>
  <c r="T17"/>
  <c r="W30" i="34"/>
  <c r="W34"/>
  <c r="W31"/>
  <c r="W35"/>
  <c r="W33"/>
  <c r="W32"/>
  <c r="W14"/>
  <c r="W13"/>
  <c r="W16"/>
  <c r="W15"/>
  <c r="W17"/>
  <c r="W18"/>
  <c r="T41" i="33"/>
  <c r="T29"/>
  <c r="T31"/>
  <c r="T32"/>
  <c r="T39"/>
  <c r="T33"/>
  <c r="T30"/>
  <c r="T35"/>
  <c r="T34"/>
  <c r="T36"/>
  <c r="T37"/>
  <c r="T40"/>
  <c r="T38"/>
  <c r="T25"/>
  <c r="T14"/>
  <c r="T13"/>
  <c r="T15"/>
  <c r="T17"/>
  <c r="T21"/>
  <c r="T18"/>
  <c r="T16"/>
  <c r="T24"/>
  <c r="T20"/>
  <c r="T19"/>
  <c r="T22"/>
  <c r="T23"/>
  <c r="T42" i="32"/>
  <c r="T25"/>
  <c r="T26"/>
  <c r="T28"/>
  <c r="T27"/>
  <c r="T30"/>
  <c r="T29"/>
  <c r="T39"/>
  <c r="T33"/>
  <c r="T38"/>
  <c r="T35"/>
  <c r="T37"/>
  <c r="T40"/>
  <c r="T36"/>
  <c r="T41"/>
  <c r="T32"/>
  <c r="T31"/>
  <c r="T34"/>
  <c r="T21"/>
  <c r="T13"/>
  <c r="T20"/>
  <c r="T15"/>
  <c r="T14"/>
  <c r="T16"/>
  <c r="T19"/>
  <c r="T18"/>
  <c r="T17"/>
  <c r="W23" i="11"/>
  <c r="W14"/>
  <c r="W26"/>
  <c r="W22"/>
  <c r="W17"/>
  <c r="W15"/>
  <c r="W24"/>
  <c r="W20"/>
  <c r="W21"/>
  <c r="W18"/>
  <c r="W19"/>
  <c r="W16"/>
  <c r="W13"/>
  <c r="W25"/>
  <c r="T14" i="14"/>
  <c r="T19"/>
  <c r="T22"/>
  <c r="T17"/>
  <c r="T25"/>
  <c r="T13"/>
  <c r="T26"/>
  <c r="T15"/>
  <c r="T23"/>
  <c r="T16"/>
  <c r="T20"/>
  <c r="T21"/>
  <c r="T24"/>
  <c r="T27"/>
  <c r="T18"/>
  <c r="A34" i="38" l="1"/>
  <c r="A33"/>
  <c r="A30"/>
  <c r="A32"/>
  <c r="A31"/>
  <c r="A35"/>
  <c r="A13"/>
  <c r="A28" i="37"/>
  <c r="A16" i="38"/>
  <c r="A15"/>
  <c r="A14"/>
  <c r="A18"/>
  <c r="A17"/>
  <c r="A34" i="34"/>
  <c r="A33"/>
  <c r="A30"/>
  <c r="A32"/>
  <c r="A31"/>
  <c r="A35"/>
  <c r="A15"/>
  <c r="A13"/>
  <c r="A16"/>
  <c r="A14"/>
  <c r="A18"/>
  <c r="A17"/>
  <c r="A14" i="37"/>
  <c r="A15" i="32"/>
  <c r="A26"/>
  <c r="A16" i="35"/>
  <c r="A33"/>
  <c r="A15" i="36"/>
  <c r="A15" i="35"/>
  <c r="A32"/>
  <c r="A14" i="36"/>
  <c r="A24"/>
  <c r="A16" i="33"/>
  <c r="A20"/>
  <c r="A31"/>
  <c r="A19" i="32"/>
  <c r="A30"/>
  <c r="A34"/>
  <c r="A38"/>
  <c r="A42"/>
  <c r="A14" i="33"/>
  <c r="A18"/>
  <c r="A22"/>
  <c r="A29"/>
  <c r="A33"/>
  <c r="A37"/>
  <c r="A41"/>
  <c r="A20" i="35"/>
  <c r="A24"/>
  <c r="A37"/>
  <c r="A41"/>
  <c r="A45"/>
  <c r="A49"/>
  <c r="A19" i="36"/>
  <c r="A28"/>
  <c r="A32"/>
  <c r="A36"/>
  <c r="A40"/>
  <c r="A18" i="37"/>
  <c r="A22"/>
  <c r="A32"/>
  <c r="A36"/>
  <c r="A14" i="32"/>
  <c r="A18"/>
  <c r="A25"/>
  <c r="A29"/>
  <c r="A33"/>
  <c r="A37"/>
  <c r="A41"/>
  <c r="A13" i="33"/>
  <c r="A17"/>
  <c r="A21"/>
  <c r="A25"/>
  <c r="A32"/>
  <c r="A36"/>
  <c r="A40"/>
  <c r="A19" i="35"/>
  <c r="A23"/>
  <c r="A27"/>
  <c r="A36"/>
  <c r="A40"/>
  <c r="A44"/>
  <c r="A48"/>
  <c r="A52"/>
  <c r="A18" i="36"/>
  <c r="A27"/>
  <c r="A31"/>
  <c r="A35"/>
  <c r="A39"/>
  <c r="A13" i="37"/>
  <c r="A17"/>
  <c r="A21"/>
  <c r="A31"/>
  <c r="A35"/>
  <c r="A39"/>
  <c r="A13" i="32"/>
  <c r="A21"/>
  <c r="A32"/>
  <c r="A40"/>
  <c r="A24" i="33"/>
  <c r="A35"/>
  <c r="A39"/>
  <c r="A14" i="35"/>
  <c r="A18"/>
  <c r="A22"/>
  <c r="A26"/>
  <c r="A31"/>
  <c r="A35"/>
  <c r="A39"/>
  <c r="A43"/>
  <c r="A47"/>
  <c r="A51"/>
  <c r="A13" i="36"/>
  <c r="A17"/>
  <c r="A26"/>
  <c r="A30"/>
  <c r="A34"/>
  <c r="A38"/>
  <c r="A16" i="37"/>
  <c r="A20"/>
  <c r="A24"/>
  <c r="A30"/>
  <c r="A34"/>
  <c r="A38"/>
  <c r="A17" i="32"/>
  <c r="A28"/>
  <c r="A36"/>
  <c r="A16"/>
  <c r="A20"/>
  <c r="A27"/>
  <c r="A31"/>
  <c r="A35"/>
  <c r="A39"/>
  <c r="A15" i="33"/>
  <c r="A19"/>
  <c r="A23"/>
  <c r="A30"/>
  <c r="A34"/>
  <c r="A38"/>
  <c r="A13" i="35"/>
  <c r="A17"/>
  <c r="A21"/>
  <c r="A25"/>
  <c r="A34"/>
  <c r="A38"/>
  <c r="A42"/>
  <c r="A46"/>
  <c r="A50"/>
  <c r="A53"/>
  <c r="A16" i="36"/>
  <c r="A20"/>
  <c r="A25"/>
  <c r="A29"/>
  <c r="A33"/>
  <c r="A37"/>
  <c r="A15" i="37"/>
  <c r="A19"/>
  <c r="A23"/>
  <c r="A29"/>
  <c r="A33"/>
  <c r="A37"/>
  <c r="S16" i="13"/>
  <c r="S14"/>
  <c r="N20"/>
  <c r="N17"/>
  <c r="N16"/>
  <c r="N15"/>
  <c r="N14"/>
  <c r="W45" i="11" l="1"/>
  <c r="T54" i="14"/>
  <c r="T48"/>
  <c r="T38"/>
  <c r="T50"/>
  <c r="T32"/>
  <c r="T49"/>
  <c r="T52"/>
  <c r="T42"/>
  <c r="T44"/>
  <c r="T43"/>
  <c r="T31"/>
  <c r="T40"/>
  <c r="T53"/>
  <c r="T37"/>
  <c r="T51"/>
  <c r="T36"/>
  <c r="T45"/>
  <c r="T33"/>
  <c r="T41"/>
  <c r="T34"/>
  <c r="T35"/>
  <c r="T39"/>
  <c r="T46"/>
  <c r="T47"/>
  <c r="N13" i="13"/>
  <c r="A31" i="14" l="1"/>
  <c r="A13"/>
  <c r="A32"/>
  <c r="A15"/>
  <c r="A17"/>
  <c r="A19"/>
  <c r="A21"/>
  <c r="A23"/>
  <c r="A25"/>
  <c r="A27"/>
  <c r="A34"/>
  <c r="A36"/>
  <c r="A38"/>
  <c r="A40"/>
  <c r="A42"/>
  <c r="A44"/>
  <c r="A46"/>
  <c r="A48"/>
  <c r="A50"/>
  <c r="A52"/>
  <c r="A54"/>
  <c r="A14"/>
  <c r="A16"/>
  <c r="A18"/>
  <c r="A20"/>
  <c r="A22"/>
  <c r="A24"/>
  <c r="A26"/>
  <c r="A33"/>
  <c r="A35"/>
  <c r="A37"/>
  <c r="A39"/>
  <c r="A41"/>
  <c r="A43"/>
  <c r="A45"/>
  <c r="A47"/>
  <c r="A49"/>
  <c r="A51"/>
  <c r="A53"/>
  <c r="X14" i="13"/>
  <c r="X13"/>
  <c r="S15"/>
  <c r="S13"/>
  <c r="N19"/>
  <c r="N18"/>
  <c r="I28"/>
  <c r="I27"/>
  <c r="I26"/>
  <c r="I25"/>
  <c r="I24"/>
  <c r="I23"/>
  <c r="I22"/>
  <c r="I21"/>
  <c r="I20"/>
  <c r="I19"/>
  <c r="I18"/>
  <c r="I17"/>
  <c r="I16"/>
  <c r="I15"/>
  <c r="I14"/>
  <c r="I13"/>
  <c r="W43" i="11"/>
  <c r="W46"/>
  <c r="W44"/>
  <c r="W47"/>
  <c r="W36"/>
  <c r="W49"/>
  <c r="W37"/>
  <c r="W48"/>
  <c r="W34"/>
  <c r="W40"/>
  <c r="W42"/>
  <c r="W33"/>
  <c r="W41"/>
  <c r="W32"/>
  <c r="W31"/>
  <c r="W39"/>
  <c r="W30"/>
  <c r="W38"/>
  <c r="W35"/>
  <c r="A20" l="1"/>
  <c r="A21"/>
  <c r="A17"/>
  <c r="A16"/>
  <c r="A23"/>
  <c r="A35"/>
  <c r="A24"/>
  <c r="A26"/>
  <c r="A42"/>
  <c r="A36"/>
  <c r="A44"/>
  <c r="A48"/>
  <c r="A39"/>
  <c r="A49"/>
  <c r="A43"/>
  <c r="A31"/>
  <c r="A15"/>
  <c r="A25"/>
  <c r="A22"/>
  <c r="A33"/>
  <c r="A45"/>
  <c r="A38"/>
  <c r="A47"/>
  <c r="A41"/>
  <c r="A14"/>
  <c r="A32"/>
  <c r="A34"/>
  <c r="A37"/>
  <c r="A46"/>
  <c r="A19"/>
  <c r="A18"/>
  <c r="A13"/>
  <c r="A30"/>
  <c r="A40"/>
  <c r="J13" i="13" l="1"/>
  <c r="Y13"/>
  <c r="T13"/>
  <c r="O17"/>
  <c r="O13"/>
  <c r="J15"/>
  <c r="J20"/>
  <c r="J24"/>
  <c r="J28"/>
  <c r="Y14"/>
  <c r="T16"/>
  <c r="O16"/>
  <c r="O20"/>
  <c r="J14"/>
  <c r="J19"/>
  <c r="J23"/>
  <c r="J27"/>
  <c r="Y18"/>
  <c r="T15"/>
  <c r="O15"/>
  <c r="O19"/>
  <c r="J18"/>
  <c r="J22"/>
  <c r="J26"/>
  <c r="Y19"/>
  <c r="T14"/>
  <c r="O14"/>
  <c r="O18"/>
  <c r="J17"/>
  <c r="J16"/>
  <c r="J21"/>
  <c r="J25"/>
</calcChain>
</file>

<file path=xl/comments1.xml><?xml version="1.0" encoding="utf-8"?>
<comments xmlns="http://schemas.openxmlformats.org/spreadsheetml/2006/main">
  <authors>
    <author>admin</author>
  </authors>
  <commentList>
    <comment ref="E1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<sst xmlns="http://schemas.openxmlformats.org/spreadsheetml/2006/main" count="3648" uniqueCount="319">
  <si>
    <t>Rank</t>
  </si>
  <si>
    <t>Bib</t>
  </si>
  <si>
    <t>Last Name</t>
  </si>
  <si>
    <t>Nationality</t>
  </si>
  <si>
    <t>Birthdate</t>
  </si>
  <si>
    <t>Category</t>
  </si>
  <si>
    <t>Event Name</t>
    <phoneticPr fontId="8"/>
  </si>
  <si>
    <t>Format</t>
    <phoneticPr fontId="8"/>
  </si>
  <si>
    <t>Resort</t>
    <phoneticPr fontId="8"/>
  </si>
  <si>
    <t>Country</t>
    <phoneticPr fontId="8"/>
  </si>
  <si>
    <t>Date</t>
    <phoneticPr fontId="8"/>
  </si>
  <si>
    <t>Judge 1</t>
  </si>
  <si>
    <t>Judge 2</t>
  </si>
  <si>
    <t>Judge 3</t>
    <phoneticPr fontId="8"/>
  </si>
  <si>
    <t>Total</t>
  </si>
  <si>
    <t>Judge 3</t>
  </si>
  <si>
    <t xml:space="preserve">Reg No. </t>
  </si>
  <si>
    <t>X</t>
  </si>
  <si>
    <t>1st</t>
  </si>
  <si>
    <t>2nd</t>
  </si>
  <si>
    <t>3rd</t>
  </si>
  <si>
    <t>4th</t>
  </si>
  <si>
    <t>Time</t>
  </si>
  <si>
    <t>Jump Category</t>
  </si>
  <si>
    <t>Jump Description</t>
  </si>
  <si>
    <t>No Jump</t>
  </si>
  <si>
    <t>3g</t>
  </si>
  <si>
    <t>3p</t>
  </si>
  <si>
    <t>3pg</t>
  </si>
  <si>
    <t>720</t>
  </si>
  <si>
    <t>7oA</t>
  </si>
  <si>
    <t>7oB</t>
  </si>
  <si>
    <t>off Rodeo</t>
  </si>
  <si>
    <t>bF</t>
  </si>
  <si>
    <t>Back Full</t>
  </si>
  <si>
    <t>bFp</t>
  </si>
  <si>
    <t>Back Full Pos</t>
  </si>
  <si>
    <t>bL</t>
  </si>
  <si>
    <t>Back Lay</t>
  </si>
  <si>
    <t>bLp</t>
  </si>
  <si>
    <t>bP</t>
  </si>
  <si>
    <t>Back Puck</t>
  </si>
  <si>
    <t>bPp</t>
  </si>
  <si>
    <t>D</t>
  </si>
  <si>
    <t>fT</t>
  </si>
  <si>
    <t>Front Tuck</t>
  </si>
  <si>
    <t>K</t>
  </si>
  <si>
    <t>L</t>
  </si>
  <si>
    <t>Loop</t>
  </si>
  <si>
    <t>Lp</t>
  </si>
  <si>
    <t>Loop pos</t>
  </si>
  <si>
    <t>M</t>
  </si>
  <si>
    <t>Mule</t>
  </si>
  <si>
    <t>S</t>
  </si>
  <si>
    <t>St</t>
  </si>
  <si>
    <t>T</t>
  </si>
  <si>
    <t>TS</t>
  </si>
  <si>
    <t>TT</t>
  </si>
  <si>
    <t>TTS</t>
  </si>
  <si>
    <t>Jump 1</t>
  </si>
  <si>
    <t>Jump 2</t>
  </si>
  <si>
    <t>#3</t>
  </si>
  <si>
    <t>#1</t>
  </si>
  <si>
    <t>#0</t>
  </si>
  <si>
    <t>#7</t>
  </si>
  <si>
    <t>Judge 4 #2</t>
  </si>
  <si>
    <t>Judge 4 #1</t>
  </si>
  <si>
    <t>Judge 5 #1</t>
  </si>
  <si>
    <t>Judge 5 #2</t>
  </si>
  <si>
    <t>Pace Time</t>
  </si>
  <si>
    <t>360 small grab</t>
  </si>
  <si>
    <t>3G</t>
  </si>
  <si>
    <t>360 big grab</t>
  </si>
  <si>
    <t>360 Pos</t>
  </si>
  <si>
    <t>360 Pos grab</t>
  </si>
  <si>
    <t>off D-Spin/Cork</t>
  </si>
  <si>
    <t>Back Lay Pos</t>
  </si>
  <si>
    <t>Back Puck Pos</t>
  </si>
  <si>
    <t>Lg</t>
  </si>
  <si>
    <t>Loop small grab</t>
  </si>
  <si>
    <t>LG</t>
  </si>
  <si>
    <t>Loop big grab</t>
  </si>
  <si>
    <t>Spread</t>
  </si>
  <si>
    <t>Twister</t>
  </si>
  <si>
    <t>Twister spread</t>
  </si>
  <si>
    <t>Twist twist</t>
  </si>
  <si>
    <t>Tw twist spread</t>
  </si>
  <si>
    <t>Kosack</t>
  </si>
  <si>
    <t>Daffy</t>
  </si>
  <si>
    <t>B</t>
  </si>
  <si>
    <t>Backscratcher</t>
  </si>
  <si>
    <t>Rank from qualif</t>
  </si>
  <si>
    <t>Score</t>
  </si>
  <si>
    <t>Round 1</t>
  </si>
  <si>
    <t>Winner Bib</t>
  </si>
  <si>
    <t>Round 2</t>
  </si>
  <si>
    <t>Semi Final</t>
  </si>
  <si>
    <t>Final</t>
  </si>
  <si>
    <t>3/4 Place</t>
  </si>
  <si>
    <t>Rnk/Nme</t>
  </si>
  <si>
    <t>Blue Scr</t>
  </si>
  <si>
    <t>Reg No</t>
  </si>
  <si>
    <t>July 13 1999</t>
  </si>
  <si>
    <t>1999 U16/ YOUTH</t>
  </si>
  <si>
    <t>UK</t>
  </si>
  <si>
    <t>13th September 2014</t>
  </si>
  <si>
    <t>Norfolk BSA 18809</t>
  </si>
  <si>
    <t>CALLUM WYLIE</t>
  </si>
  <si>
    <t>SSE 21903</t>
  </si>
  <si>
    <t>December 14 1999</t>
  </si>
  <si>
    <t>William Feneley</t>
  </si>
  <si>
    <t>Name</t>
  </si>
  <si>
    <t>Liam Keyes</t>
  </si>
  <si>
    <t>Chill Factore</t>
  </si>
  <si>
    <t>October 26 1995</t>
  </si>
  <si>
    <t>1995 U20/ JUNIOR</t>
  </si>
  <si>
    <t>Richard Holt</t>
  </si>
  <si>
    <t>September 9 1999</t>
  </si>
  <si>
    <t>IKUMA HORISHIMA</t>
  </si>
  <si>
    <t>IDoneski.com Ikuma Horishima FIS CODE 2529645</t>
  </si>
  <si>
    <t>December 11 1997</t>
  </si>
  <si>
    <t>1997 U18/ JUNIOR</t>
  </si>
  <si>
    <t>GBR</t>
  </si>
  <si>
    <t>Samuel Houston</t>
  </si>
  <si>
    <t>Sharks 2531086. FIS for samuel houston</t>
  </si>
  <si>
    <t>November 30 1996</t>
  </si>
  <si>
    <t>1996 U20/ JUNIOR</t>
  </si>
  <si>
    <t>September 7 2000</t>
  </si>
  <si>
    <t>2000 U16/ YOUTH</t>
  </si>
  <si>
    <t>JPN</t>
  </si>
  <si>
    <t>James Rose</t>
  </si>
  <si>
    <t>Chill Factore  SSE no 21554</t>
  </si>
  <si>
    <t>December 11 2001</t>
  </si>
  <si>
    <t>2001 U14/ YOUTH</t>
  </si>
  <si>
    <t>Nick Page</t>
  </si>
  <si>
    <t>Team ID One</t>
  </si>
  <si>
    <t>August 1 2002</t>
  </si>
  <si>
    <t>2002 U14/ YOUTH</t>
  </si>
  <si>
    <t>USA</t>
  </si>
  <si>
    <t>Multiply Factor Men</t>
  </si>
  <si>
    <t>Multiply Factor Women</t>
  </si>
  <si>
    <t>3p G</t>
  </si>
  <si>
    <t>360 Pos Grab</t>
  </si>
  <si>
    <t>7o</t>
  </si>
  <si>
    <t>720 off axis</t>
  </si>
  <si>
    <t>Back flip</t>
  </si>
  <si>
    <t>Straight jump not FIS</t>
  </si>
  <si>
    <t>Iron Cross</t>
  </si>
  <si>
    <t>Y</t>
  </si>
  <si>
    <t>Z</t>
  </si>
  <si>
    <t>Zudnick</t>
  </si>
  <si>
    <t>Women</t>
  </si>
  <si>
    <t>Men</t>
  </si>
  <si>
    <t>Thea Fenwick</t>
  </si>
  <si>
    <t>SSE 20212 + Northern Freestyle</t>
  </si>
  <si>
    <t>August 23 2001</t>
  </si>
  <si>
    <t>Thomas Rascagneres</t>
  </si>
  <si>
    <t>Manchester ski racing SSE 19569 FIS2532116</t>
  </si>
  <si>
    <t>July 28 2000</t>
  </si>
  <si>
    <t>Andrew Longley</t>
  </si>
  <si>
    <t>2485295 Andrew Longley</t>
  </si>
  <si>
    <t>November 29 1990</t>
  </si>
  <si>
    <t>1990 OPEN</t>
  </si>
  <si>
    <t>Emanuele Pini</t>
  </si>
  <si>
    <t>Switzerland</t>
  </si>
  <si>
    <t>December 11 1999</t>
  </si>
  <si>
    <t>Linus Ombelli</t>
  </si>
  <si>
    <t>May 26 2001</t>
  </si>
  <si>
    <t>Giacomo Papa</t>
  </si>
  <si>
    <t>December 21 1999</t>
  </si>
  <si>
    <t>Gasparini Matteo</t>
  </si>
  <si>
    <t>February 27 1999</t>
  </si>
  <si>
    <t>Aigner Thomas</t>
  </si>
  <si>
    <t>Austrian Freestyle Ski Team</t>
  </si>
  <si>
    <t>March 8 1993</t>
  </si>
  <si>
    <t>1993 OPEN</t>
  </si>
  <si>
    <t>Hackl Karin</t>
  </si>
  <si>
    <t>June 14 1989</t>
  </si>
  <si>
    <t>1989 OPEN</t>
  </si>
  <si>
    <t>Meilinger Melanie</t>
  </si>
  <si>
    <t>June 27 1986</t>
  </si>
  <si>
    <t>1991 OPEN</t>
  </si>
  <si>
    <t>Ramsauer Katharina</t>
  </si>
  <si>
    <t>May 21 1995</t>
  </si>
  <si>
    <t>Francesca Lee</t>
  </si>
  <si>
    <t>Chill Factore 18913</t>
  </si>
  <si>
    <t>April 30 1998</t>
  </si>
  <si>
    <t>1998 U18/ JUNIOR</t>
  </si>
  <si>
    <t>Sam Jones</t>
  </si>
  <si>
    <t>Sharks Ski Club</t>
  </si>
  <si>
    <t>April 21 1997</t>
  </si>
  <si>
    <t>Ben Burley</t>
  </si>
  <si>
    <t xml:space="preserve">Sharks ski club </t>
  </si>
  <si>
    <t>October 1 2002</t>
  </si>
  <si>
    <t>Sam Burley</t>
  </si>
  <si>
    <t>June 22 2005</t>
  </si>
  <si>
    <t>2005 U12/ KIDS</t>
  </si>
  <si>
    <t>FIS Numbers</t>
  </si>
  <si>
    <t>FIS Cal</t>
  </si>
  <si>
    <t>Sam Allen</t>
  </si>
  <si>
    <t xml:space="preserve">England Ski Cross Team </t>
  </si>
  <si>
    <t>June 16 1994</t>
  </si>
  <si>
    <t>1994 OPEN</t>
  </si>
  <si>
    <t>Nicolo' Manna</t>
  </si>
  <si>
    <t>june 14 1995</t>
  </si>
  <si>
    <t>Luca Ferioli</t>
  </si>
  <si>
    <t>Italy</t>
  </si>
  <si>
    <t>ITA</t>
  </si>
  <si>
    <t>Claudia Grassi</t>
  </si>
  <si>
    <t>SUI</t>
  </si>
  <si>
    <t>January 14 1997</t>
  </si>
  <si>
    <t>1997 U18/Junior</t>
  </si>
  <si>
    <t>Camilla Bledig</t>
  </si>
  <si>
    <t>1999 u16/youth</t>
  </si>
  <si>
    <t>Judge 4</t>
  </si>
  <si>
    <t>Judge 5</t>
  </si>
  <si>
    <t>TD</t>
  </si>
  <si>
    <t>Head Judge</t>
  </si>
  <si>
    <t>European Moguls</t>
  </si>
  <si>
    <t>Kay Bates, GBR</t>
  </si>
  <si>
    <t>Chris Dey, GBR</t>
  </si>
  <si>
    <t>Keith Marks, GBR</t>
  </si>
  <si>
    <t>Peter Bates, GBR</t>
  </si>
  <si>
    <t>Martin Carr, GBR</t>
  </si>
  <si>
    <t>Iain Mackay, GBR</t>
  </si>
  <si>
    <t>Chief of Course</t>
  </si>
  <si>
    <t>Ian Danby, GBR</t>
  </si>
  <si>
    <t>FIS Singles</t>
  </si>
  <si>
    <t>WOMEN FIS 8056</t>
  </si>
  <si>
    <t>MEN 8058</t>
  </si>
  <si>
    <t>Single Moguls</t>
  </si>
  <si>
    <t>Stefanie Burger</t>
  </si>
  <si>
    <t>Laura Berghuis</t>
  </si>
  <si>
    <t>Janneke Berghuis</t>
  </si>
  <si>
    <t>Esmee Burger</t>
  </si>
  <si>
    <t>Robin Lammers</t>
  </si>
  <si>
    <t>Demi Corstjens</t>
  </si>
  <si>
    <t>Floran Verhoeven</t>
  </si>
  <si>
    <t>FIS</t>
  </si>
  <si>
    <t>AUT</t>
  </si>
  <si>
    <t>NED</t>
  </si>
  <si>
    <t>Jodie Grant</t>
  </si>
  <si>
    <t>Chil Factore, Manchester</t>
  </si>
  <si>
    <t>July 11 1996</t>
  </si>
  <si>
    <t>August 01 2001</t>
  </si>
  <si>
    <t>November 11 1999</t>
  </si>
  <si>
    <t>September 10 2001</t>
  </si>
  <si>
    <t>April 17 2004</t>
  </si>
  <si>
    <t>October 20 2001</t>
  </si>
  <si>
    <t>January 18 2006</t>
  </si>
  <si>
    <t>December 20 2000</t>
  </si>
  <si>
    <t>February 24 1996</t>
  </si>
  <si>
    <t>Order</t>
  </si>
  <si>
    <t>Top 6 to F1</t>
  </si>
  <si>
    <t>Top 6 to F2</t>
  </si>
  <si>
    <t>British Moguls</t>
  </si>
  <si>
    <t>WOMEN FIS 8060</t>
  </si>
  <si>
    <t>MEN 8061</t>
  </si>
  <si>
    <t>Dual Moguls</t>
  </si>
  <si>
    <t>FIS Duals</t>
  </si>
  <si>
    <t>WOMEN 8055</t>
  </si>
  <si>
    <t>MEN 8057</t>
  </si>
  <si>
    <t>Event Name</t>
    <phoneticPr fontId="8"/>
  </si>
  <si>
    <t>Format</t>
    <phoneticPr fontId="8"/>
  </si>
  <si>
    <t>Resort</t>
    <phoneticPr fontId="8"/>
  </si>
  <si>
    <t>Country</t>
    <phoneticPr fontId="8"/>
  </si>
  <si>
    <t>Date</t>
    <phoneticPr fontId="8"/>
  </si>
  <si>
    <t>Round 3</t>
  </si>
  <si>
    <t>August 12 1967</t>
  </si>
  <si>
    <t>Richard Savory</t>
  </si>
  <si>
    <t>bl</t>
  </si>
  <si>
    <t>st</t>
  </si>
  <si>
    <t>ft</t>
  </si>
  <si>
    <t>tt</t>
  </si>
  <si>
    <t>k</t>
  </si>
  <si>
    <t>ts</t>
  </si>
  <si>
    <t>bt</t>
  </si>
  <si>
    <t>bT</t>
  </si>
  <si>
    <t>Back tuck</t>
  </si>
  <si>
    <t>s</t>
  </si>
  <si>
    <t>t</t>
  </si>
  <si>
    <t>x</t>
  </si>
  <si>
    <t>d</t>
  </si>
  <si>
    <t>m</t>
  </si>
  <si>
    <t>bpp</t>
  </si>
  <si>
    <t>lg</t>
  </si>
  <si>
    <t>l</t>
  </si>
  <si>
    <t>dd</t>
  </si>
  <si>
    <t>double daffy</t>
  </si>
  <si>
    <t>From Q2</t>
  </si>
  <si>
    <t>From F1</t>
  </si>
  <si>
    <t>7oa</t>
  </si>
  <si>
    <t>7opa</t>
  </si>
  <si>
    <t>ttt</t>
  </si>
  <si>
    <t>Zg</t>
  </si>
  <si>
    <t>Zudnick/grab</t>
  </si>
  <si>
    <t>zg</t>
  </si>
  <si>
    <t>lG</t>
  </si>
  <si>
    <t>7opA</t>
  </si>
  <si>
    <t>Judge 1 T</t>
  </si>
  <si>
    <t>Judge 2 T</t>
  </si>
  <si>
    <t>Judge 3 A</t>
  </si>
  <si>
    <t>Judge 5 O</t>
  </si>
  <si>
    <t>Judge 4 S</t>
  </si>
  <si>
    <t>BF</t>
  </si>
  <si>
    <t xml:space="preserve"> </t>
  </si>
  <si>
    <t>Rnk = Rank from qualifying run highest number has choice of line</t>
  </si>
  <si>
    <t>14th September 2014</t>
  </si>
  <si>
    <t>Computer</t>
  </si>
  <si>
    <t>MEN 8062</t>
  </si>
  <si>
    <t>WOMEN 8059</t>
  </si>
  <si>
    <t>Chill Factore, Manchester</t>
  </si>
  <si>
    <t>ss</t>
  </si>
  <si>
    <t>double spread</t>
  </si>
  <si>
    <t>Turns</t>
  </si>
  <si>
    <t>Air</t>
  </si>
  <si>
    <t>Speed</t>
  </si>
  <si>
    <t>FIS Rnk</t>
  </si>
  <si>
    <t>Nation</t>
  </si>
</sst>
</file>

<file path=xl/styles.xml><?xml version="1.0" encoding="utf-8"?>
<styleSheet xmlns="http://schemas.openxmlformats.org/spreadsheetml/2006/main">
  <fonts count="23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1"/>
      <color indexed="8"/>
      <name val="Calibri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u/>
      <sz val="10"/>
      <color theme="10"/>
      <name val="Arial"/>
    </font>
    <font>
      <b/>
      <sz val="10"/>
      <name val="Arial"/>
    </font>
    <font>
      <sz val="10"/>
      <color theme="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FFC000"/>
        <bgColor indexed="9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1" fillId="0" borderId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82">
    <xf numFmtId="0" fontId="0" fillId="0" borderId="0" xfId="0"/>
    <xf numFmtId="0" fontId="2" fillId="0" borderId="0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3" xfId="0" applyNumberFormat="1" applyFont="1" applyFill="1" applyBorder="1" applyAlignment="1" applyProtection="1">
      <alignment horizontal="center"/>
      <protection locked="0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0" fontId="2" fillId="0" borderId="5" xfId="0" applyNumberFormat="1" applyFont="1" applyFill="1" applyBorder="1" applyAlignment="1" applyProtection="1">
      <protection locked="0"/>
    </xf>
    <xf numFmtId="0" fontId="2" fillId="0" borderId="6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7" xfId="0" applyNumberFormat="1" applyFont="1" applyFill="1" applyBorder="1" applyAlignment="1" applyProtection="1">
      <alignment horizontal="center"/>
      <protection locked="0"/>
    </xf>
    <xf numFmtId="0" fontId="2" fillId="0" borderId="3" xfId="0" applyNumberFormat="1" applyFont="1" applyFill="1" applyBorder="1" applyAlignment="1" applyProtection="1">
      <protection locked="0"/>
    </xf>
    <xf numFmtId="0" fontId="2" fillId="0" borderId="4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alignment horizontal="center"/>
      <protection locked="0"/>
    </xf>
    <xf numFmtId="0" fontId="2" fillId="0" borderId="2" xfId="0" applyNumberFormat="1" applyFon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protection locked="0"/>
    </xf>
    <xf numFmtId="0" fontId="2" fillId="2" borderId="12" xfId="0" applyNumberFormat="1" applyFont="1" applyFill="1" applyBorder="1" applyAlignment="1" applyProtection="1">
      <protection locked="0"/>
    </xf>
    <xf numFmtId="0" fontId="2" fillId="2" borderId="16" xfId="0" applyNumberFormat="1" applyFont="1" applyFill="1" applyBorder="1" applyAlignment="1" applyProtection="1"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2" fillId="0" borderId="2" xfId="0" applyNumberFormat="1" applyFont="1" applyFill="1" applyBorder="1" applyAlignment="1" applyProtection="1">
      <protection locked="0"/>
    </xf>
    <xf numFmtId="0" fontId="2" fillId="2" borderId="18" xfId="0" applyNumberFormat="1" applyFont="1" applyFill="1" applyBorder="1" applyAlignment="1" applyProtection="1">
      <protection locked="0"/>
    </xf>
    <xf numFmtId="0" fontId="2" fillId="2" borderId="19" xfId="0" applyNumberFormat="1" applyFont="1" applyFill="1" applyBorder="1" applyAlignment="1" applyProtection="1">
      <protection locked="0"/>
    </xf>
    <xf numFmtId="0" fontId="2" fillId="0" borderId="17" xfId="0" applyNumberFormat="1" applyFont="1" applyFill="1" applyBorder="1" applyAlignment="1" applyProtection="1">
      <protection locked="0"/>
    </xf>
    <xf numFmtId="0" fontId="2" fillId="0" borderId="18" xfId="0" applyNumberFormat="1" applyFont="1" applyFill="1" applyBorder="1" applyAlignment="1" applyProtection="1">
      <protection locked="0"/>
    </xf>
    <xf numFmtId="0" fontId="0" fillId="3" borderId="18" xfId="0" applyFill="1" applyBorder="1"/>
    <xf numFmtId="0" fontId="2" fillId="0" borderId="13" xfId="0" applyNumberFormat="1" applyFont="1" applyFill="1" applyBorder="1" applyAlignment="1" applyProtection="1">
      <protection locked="0"/>
    </xf>
    <xf numFmtId="0" fontId="2" fillId="0" borderId="10" xfId="0" applyNumberFormat="1" applyFont="1" applyFill="1" applyBorder="1" applyAlignment="1" applyProtection="1">
      <protection locked="0"/>
    </xf>
    <xf numFmtId="0" fontId="2" fillId="0" borderId="15" xfId="0" applyNumberFormat="1" applyFont="1" applyFill="1" applyBorder="1" applyAlignment="1" applyProtection="1">
      <protection locked="0"/>
    </xf>
    <xf numFmtId="0" fontId="2" fillId="0" borderId="8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alignment horizont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5" fillId="0" borderId="18" xfId="0" applyNumberFormat="1" applyFont="1" applyFill="1" applyBorder="1" applyAlignment="1" applyProtection="1">
      <protection locked="0"/>
    </xf>
    <xf numFmtId="0" fontId="5" fillId="0" borderId="20" xfId="0" applyNumberFormat="1" applyFont="1" applyFill="1" applyBorder="1" applyAlignment="1" applyProtection="1">
      <protection locked="0"/>
    </xf>
    <xf numFmtId="0" fontId="2" fillId="0" borderId="21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0" fontId="0" fillId="0" borderId="0" xfId="0" applyBorder="1"/>
    <xf numFmtId="0" fontId="2" fillId="5" borderId="0" xfId="0" applyNumberFormat="1" applyFont="1" applyFill="1" applyBorder="1" applyAlignment="1" applyProtection="1">
      <protection locked="0"/>
    </xf>
    <xf numFmtId="0" fontId="0" fillId="5" borderId="0" xfId="0" applyFill="1" applyBorder="1"/>
    <xf numFmtId="0" fontId="0" fillId="5" borderId="0" xfId="0" applyNumberFormat="1" applyFont="1" applyFill="1" applyBorder="1" applyAlignment="1" applyProtection="1">
      <protection locked="0"/>
    </xf>
    <xf numFmtId="0" fontId="3" fillId="5" borderId="0" xfId="0" applyNumberFormat="1" applyFont="1" applyFill="1" applyBorder="1" applyAlignment="1" applyProtection="1">
      <alignment horizontal="center"/>
      <protection locked="0"/>
    </xf>
    <xf numFmtId="0" fontId="3" fillId="6" borderId="0" xfId="0" applyNumberFormat="1" applyFont="1" applyFill="1" applyBorder="1" applyAlignment="1" applyProtection="1">
      <alignment horizontal="center"/>
      <protection locked="0"/>
    </xf>
    <xf numFmtId="0" fontId="9" fillId="6" borderId="0" xfId="0" applyNumberFormat="1" applyFont="1" applyFill="1" applyBorder="1" applyAlignment="1" applyProtection="1">
      <alignment horizontal="center"/>
      <protection locked="0"/>
    </xf>
    <xf numFmtId="0" fontId="10" fillId="6" borderId="0" xfId="0" applyNumberFormat="1" applyFont="1" applyFill="1" applyBorder="1" applyAlignment="1" applyProtection="1">
      <protection locked="0"/>
    </xf>
    <xf numFmtId="0" fontId="2" fillId="0" borderId="23" xfId="0" applyNumberFormat="1" applyFont="1" applyFill="1" applyBorder="1" applyAlignment="1" applyProtection="1">
      <protection locked="0"/>
    </xf>
    <xf numFmtId="0" fontId="3" fillId="2" borderId="23" xfId="0" applyNumberFormat="1" applyFont="1" applyFill="1" applyBorder="1" applyAlignment="1" applyProtection="1">
      <alignment horizontal="center"/>
      <protection locked="0"/>
    </xf>
    <xf numFmtId="0" fontId="0" fillId="0" borderId="24" xfId="0" applyFill="1" applyBorder="1"/>
    <xf numFmtId="0" fontId="2" fillId="0" borderId="25" xfId="0" applyNumberFormat="1" applyFont="1" applyFill="1" applyBorder="1" applyAlignment="1" applyProtection="1">
      <protection locked="0"/>
    </xf>
    <xf numFmtId="0" fontId="2" fillId="7" borderId="18" xfId="0" applyNumberFormat="1" applyFont="1" applyFill="1" applyBorder="1" applyAlignment="1" applyProtection="1">
      <protection locked="0"/>
    </xf>
    <xf numFmtId="0" fontId="2" fillId="7" borderId="8" xfId="0" applyNumberFormat="1" applyFont="1" applyFill="1" applyBorder="1" applyAlignment="1" applyProtection="1">
      <protection locked="0"/>
    </xf>
    <xf numFmtId="0" fontId="2" fillId="8" borderId="18" xfId="0" applyNumberFormat="1" applyFont="1" applyFill="1" applyBorder="1" applyAlignment="1" applyProtection="1">
      <protection locked="0"/>
    </xf>
    <xf numFmtId="0" fontId="2" fillId="8" borderId="10" xfId="0" applyNumberFormat="1" applyFont="1" applyFill="1" applyBorder="1" applyAlignment="1" applyProtection="1">
      <protection locked="0"/>
    </xf>
    <xf numFmtId="0" fontId="2" fillId="8" borderId="8" xfId="0" applyNumberFormat="1" applyFont="1" applyFill="1" applyBorder="1" applyAlignment="1" applyProtection="1">
      <protection locked="0"/>
    </xf>
    <xf numFmtId="0" fontId="0" fillId="7" borderId="18" xfId="0" applyNumberFormat="1" applyFill="1" applyBorder="1" applyAlignment="1" applyProtection="1">
      <protection locked="0"/>
    </xf>
    <xf numFmtId="0" fontId="5" fillId="8" borderId="18" xfId="0" applyNumberFormat="1" applyFont="1" applyFill="1" applyBorder="1" applyAlignment="1" applyProtection="1">
      <protection locked="0"/>
    </xf>
    <xf numFmtId="0" fontId="5" fillId="7" borderId="18" xfId="0" applyNumberFormat="1" applyFont="1" applyFill="1" applyBorder="1" applyAlignment="1" applyProtection="1">
      <protection locked="0"/>
    </xf>
    <xf numFmtId="0" fontId="0" fillId="0" borderId="10" xfId="0" applyBorder="1"/>
    <xf numFmtId="0" fontId="1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0" xfId="0" applyFont="1" applyBorder="1"/>
    <xf numFmtId="0" fontId="13" fillId="0" borderId="0" xfId="0" applyFont="1"/>
    <xf numFmtId="0" fontId="13" fillId="0" borderId="10" xfId="0" applyFont="1" applyBorder="1"/>
    <xf numFmtId="0" fontId="14" fillId="0" borderId="0" xfId="0" applyFont="1"/>
    <xf numFmtId="0" fontId="0" fillId="0" borderId="10" xfId="0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6" fillId="9" borderId="22" xfId="1" applyFont="1" applyFill="1" applyBorder="1" applyAlignment="1">
      <alignment horizontal="center"/>
    </xf>
    <xf numFmtId="0" fontId="16" fillId="0" borderId="1" xfId="1" applyFont="1" applyFill="1" applyBorder="1" applyAlignment="1">
      <alignment wrapText="1"/>
    </xf>
    <xf numFmtId="0" fontId="16" fillId="0" borderId="1" xfId="1" applyFont="1" applyFill="1" applyBorder="1" applyAlignment="1">
      <alignment horizontal="right" wrapText="1"/>
    </xf>
    <xf numFmtId="0" fontId="17" fillId="0" borderId="0" xfId="2"/>
    <xf numFmtId="0" fontId="16" fillId="0" borderId="1" xfId="1" applyFont="1" applyFill="1" applyBorder="1" applyAlignment="1">
      <alignment horizontal="left" wrapText="1"/>
    </xf>
    <xf numFmtId="2" fontId="17" fillId="0" borderId="0" xfId="2" applyNumberFormat="1"/>
    <xf numFmtId="0" fontId="16" fillId="0" borderId="0" xfId="1" applyFont="1" applyFill="1" applyBorder="1" applyAlignment="1">
      <alignment wrapText="1"/>
    </xf>
    <xf numFmtId="0" fontId="16" fillId="0" borderId="0" xfId="1" applyFont="1" applyFill="1" applyBorder="1" applyAlignment="1">
      <alignment horizontal="right" wrapText="1"/>
    </xf>
    <xf numFmtId="49" fontId="15" fillId="0" borderId="0" xfId="1" applyNumberFormat="1" applyFont="1"/>
    <xf numFmtId="2" fontId="16" fillId="0" borderId="1" xfId="1" applyNumberFormat="1" applyFont="1" applyFill="1" applyBorder="1" applyAlignment="1">
      <alignment horizontal="right" wrapText="1"/>
    </xf>
    <xf numFmtId="0" fontId="16" fillId="0" borderId="26" xfId="1" applyFont="1" applyFill="1" applyBorder="1" applyAlignment="1">
      <alignment wrapText="1"/>
    </xf>
    <xf numFmtId="0" fontId="16" fillId="0" borderId="26" xfId="1" applyFont="1" applyFill="1" applyBorder="1" applyAlignment="1">
      <alignment horizontal="right" wrapText="1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18" fillId="0" borderId="0" xfId="3" applyNumberForma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15" fontId="2" fillId="2" borderId="18" xfId="0" applyNumberFormat="1" applyFont="1" applyFill="1" applyBorder="1" applyAlignment="1" applyProtection="1">
      <protection locked="0"/>
    </xf>
    <xf numFmtId="17" fontId="2" fillId="2" borderId="18" xfId="0" applyNumberFormat="1" applyFont="1" applyFill="1" applyBorder="1" applyAlignment="1" applyProtection="1">
      <protection locked="0"/>
    </xf>
    <xf numFmtId="0" fontId="2" fillId="10" borderId="0" xfId="0" applyNumberFormat="1" applyFont="1" applyFill="1" applyBorder="1" applyAlignment="1" applyProtection="1">
      <protection locked="0"/>
    </xf>
    <xf numFmtId="0" fontId="2" fillId="11" borderId="0" xfId="0" applyNumberFormat="1" applyFont="1" applyFill="1" applyBorder="1" applyAlignment="1" applyProtection="1">
      <protection locked="0"/>
    </xf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7" fillId="0" borderId="0" xfId="2" applyFill="1" applyBorder="1"/>
    <xf numFmtId="0" fontId="2" fillId="0" borderId="20" xfId="0" applyNumberFormat="1" applyFont="1" applyFill="1" applyBorder="1" applyAlignment="1" applyProtection="1">
      <protection locked="0"/>
    </xf>
    <xf numFmtId="0" fontId="5" fillId="0" borderId="13" xfId="0" applyNumberFormat="1" applyFont="1" applyFill="1" applyBorder="1" applyAlignment="1" applyProtection="1">
      <protection locked="0"/>
    </xf>
    <xf numFmtId="0" fontId="5" fillId="0" borderId="10" xfId="0" applyNumberFormat="1" applyFont="1" applyFill="1" applyBorder="1" applyAlignment="1" applyProtection="1">
      <protection locked="0"/>
    </xf>
    <xf numFmtId="0" fontId="5" fillId="8" borderId="10" xfId="0" applyNumberFormat="1" applyFont="1" applyFill="1" applyBorder="1" applyAlignment="1" applyProtection="1">
      <protection locked="0"/>
    </xf>
    <xf numFmtId="15" fontId="2" fillId="2" borderId="8" xfId="0" applyNumberFormat="1" applyFont="1" applyFill="1" applyBorder="1" applyAlignment="1" applyProtection="1">
      <protection locked="0"/>
    </xf>
    <xf numFmtId="0" fontId="2" fillId="12" borderId="17" xfId="0" applyNumberFormat="1" applyFont="1" applyFill="1" applyBorder="1" applyAlignment="1" applyProtection="1">
      <alignment horizontal="center"/>
      <protection locked="0"/>
    </xf>
    <xf numFmtId="0" fontId="2" fillId="12" borderId="18" xfId="0" applyNumberFormat="1" applyFont="1" applyFill="1" applyBorder="1" applyAlignment="1" applyProtection="1">
      <protection locked="0"/>
    </xf>
    <xf numFmtId="17" fontId="2" fillId="12" borderId="18" xfId="0" applyNumberFormat="1" applyFont="1" applyFill="1" applyBorder="1" applyAlignment="1" applyProtection="1">
      <protection locked="0"/>
    </xf>
    <xf numFmtId="0" fontId="2" fillId="12" borderId="19" xfId="0" applyNumberFormat="1" applyFont="1" applyFill="1" applyBorder="1" applyAlignment="1" applyProtection="1">
      <protection locked="0"/>
    </xf>
    <xf numFmtId="0" fontId="2" fillId="10" borderId="13" xfId="0" applyNumberFormat="1" applyFont="1" applyFill="1" applyBorder="1" applyAlignment="1" applyProtection="1">
      <protection locked="0"/>
    </xf>
    <xf numFmtId="0" fontId="2" fillId="10" borderId="10" xfId="0" applyNumberFormat="1" applyFont="1" applyFill="1" applyBorder="1" applyAlignment="1" applyProtection="1">
      <protection locked="0"/>
    </xf>
    <xf numFmtId="0" fontId="2" fillId="10" borderId="18" xfId="0" applyNumberFormat="1" applyFont="1" applyFill="1" applyBorder="1" applyAlignment="1" applyProtection="1">
      <protection locked="0"/>
    </xf>
    <xf numFmtId="0" fontId="2" fillId="12" borderId="9" xfId="0" applyNumberFormat="1" applyFont="1" applyFill="1" applyBorder="1" applyAlignment="1" applyProtection="1">
      <alignment horizontal="center"/>
      <protection locked="0"/>
    </xf>
    <xf numFmtId="0" fontId="2" fillId="12" borderId="9" xfId="0" applyNumberFormat="1" applyFont="1" applyFill="1" applyBorder="1" applyAlignment="1" applyProtection="1">
      <protection locked="0"/>
    </xf>
    <xf numFmtId="0" fontId="2" fillId="12" borderId="12" xfId="0" applyNumberFormat="1" applyFont="1" applyFill="1" applyBorder="1" applyAlignment="1" applyProtection="1">
      <protection locked="0"/>
    </xf>
    <xf numFmtId="0" fontId="5" fillId="10" borderId="20" xfId="0" applyNumberFormat="1" applyFont="1" applyFill="1" applyBorder="1" applyAlignment="1" applyProtection="1">
      <protection locked="0"/>
    </xf>
    <xf numFmtId="0" fontId="5" fillId="10" borderId="18" xfId="0" applyNumberFormat="1" applyFont="1" applyFill="1" applyBorder="1" applyAlignment="1" applyProtection="1">
      <protection locked="0"/>
    </xf>
    <xf numFmtId="0" fontId="2" fillId="12" borderId="18" xfId="0" applyNumberFormat="1" applyFont="1" applyFill="1" applyBorder="1" applyAlignment="1" applyProtection="1">
      <alignment horizontal="center"/>
      <protection locked="0"/>
    </xf>
    <xf numFmtId="0" fontId="2" fillId="10" borderId="21" xfId="0" applyNumberFormat="1" applyFont="1" applyFill="1" applyBorder="1" applyAlignment="1" applyProtection="1">
      <protection locked="0"/>
    </xf>
    <xf numFmtId="0" fontId="2" fillId="13" borderId="18" xfId="0" applyNumberFormat="1" applyFont="1" applyFill="1" applyBorder="1" applyAlignment="1" applyProtection="1">
      <protection locked="0"/>
    </xf>
    <xf numFmtId="0" fontId="2" fillId="13" borderId="19" xfId="0" applyNumberFormat="1" applyFont="1" applyFill="1" applyBorder="1" applyAlignment="1" applyProtection="1">
      <protection locked="0"/>
    </xf>
    <xf numFmtId="0" fontId="2" fillId="11" borderId="17" xfId="0" applyNumberFormat="1" applyFont="1" applyFill="1" applyBorder="1" applyAlignment="1" applyProtection="1">
      <protection locked="0"/>
    </xf>
    <xf numFmtId="0" fontId="2" fillId="11" borderId="18" xfId="0" applyNumberFormat="1" applyFont="1" applyFill="1" applyBorder="1" applyAlignment="1" applyProtection="1">
      <protection locked="0"/>
    </xf>
    <xf numFmtId="0" fontId="2" fillId="11" borderId="13" xfId="0" applyNumberFormat="1" applyFont="1" applyFill="1" applyBorder="1" applyAlignment="1" applyProtection="1">
      <protection locked="0"/>
    </xf>
    <xf numFmtId="0" fontId="2" fillId="11" borderId="10" xfId="0" applyNumberFormat="1" applyFont="1" applyFill="1" applyBorder="1" applyAlignment="1" applyProtection="1">
      <protection locked="0"/>
    </xf>
    <xf numFmtId="0" fontId="2" fillId="13" borderId="17" xfId="0" applyNumberFormat="1" applyFont="1" applyFill="1" applyBorder="1" applyAlignment="1" applyProtection="1">
      <alignment horizontal="center"/>
      <protection locked="0"/>
    </xf>
    <xf numFmtId="0" fontId="2" fillId="13" borderId="18" xfId="0" applyNumberFormat="1" applyFont="1" applyFill="1" applyBorder="1" applyAlignment="1" applyProtection="1">
      <alignment horizontal="center"/>
      <protection locked="0"/>
    </xf>
    <xf numFmtId="0" fontId="2" fillId="13" borderId="8" xfId="0" applyNumberFormat="1" applyFont="1" applyFill="1" applyBorder="1" applyAlignment="1" applyProtection="1">
      <alignment horizontal="center"/>
      <protection locked="0"/>
    </xf>
    <xf numFmtId="0" fontId="2" fillId="13" borderId="8" xfId="0" applyNumberFormat="1" applyFont="1" applyFill="1" applyBorder="1" applyAlignment="1" applyProtection="1">
      <protection locked="0"/>
    </xf>
    <xf numFmtId="0" fontId="2" fillId="13" borderId="16" xfId="0" applyNumberFormat="1" applyFont="1" applyFill="1" applyBorder="1" applyAlignment="1" applyProtection="1">
      <protection locked="0"/>
    </xf>
    <xf numFmtId="0" fontId="2" fillId="11" borderId="15" xfId="0" applyNumberFormat="1" applyFont="1" applyFill="1" applyBorder="1" applyAlignment="1" applyProtection="1">
      <protection locked="0"/>
    </xf>
    <xf numFmtId="0" fontId="2" fillId="11" borderId="8" xfId="0" applyNumberFormat="1" applyFont="1" applyFill="1" applyBorder="1" applyAlignment="1" applyProtection="1">
      <protection locked="0"/>
    </xf>
    <xf numFmtId="15" fontId="2" fillId="12" borderId="18" xfId="0" applyNumberFormat="1" applyFont="1" applyFill="1" applyBorder="1" applyAlignment="1" applyProtection="1">
      <protection locked="0"/>
    </xf>
    <xf numFmtId="17" fontId="2" fillId="13" borderId="18" xfId="0" applyNumberFormat="1" applyFont="1" applyFill="1" applyBorder="1" applyAlignment="1" applyProtection="1">
      <protection locked="0"/>
    </xf>
    <xf numFmtId="0" fontId="2" fillId="0" borderId="0" xfId="0" applyFont="1"/>
    <xf numFmtId="0" fontId="5" fillId="0" borderId="21" xfId="0" applyNumberFormat="1" applyFont="1" applyFill="1" applyBorder="1" applyAlignment="1" applyProtection="1">
      <protection locked="0"/>
    </xf>
    <xf numFmtId="2" fontId="2" fillId="0" borderId="18" xfId="0" applyNumberFormat="1" applyFont="1" applyFill="1" applyBorder="1" applyAlignment="1" applyProtection="1">
      <protection locked="0"/>
    </xf>
    <xf numFmtId="2" fontId="0" fillId="3" borderId="18" xfId="0" applyNumberFormat="1" applyFill="1" applyBorder="1"/>
    <xf numFmtId="2" fontId="2" fillId="11" borderId="18" xfId="0" applyNumberFormat="1" applyFont="1" applyFill="1" applyBorder="1" applyAlignment="1" applyProtection="1">
      <protection locked="0"/>
    </xf>
    <xf numFmtId="2" fontId="0" fillId="11" borderId="18" xfId="0" applyNumberFormat="1" applyFill="1" applyBorder="1"/>
    <xf numFmtId="2" fontId="2" fillId="10" borderId="18" xfId="0" applyNumberFormat="1" applyFont="1" applyFill="1" applyBorder="1" applyAlignment="1" applyProtection="1">
      <protection locked="0"/>
    </xf>
    <xf numFmtId="2" fontId="0" fillId="10" borderId="18" xfId="0" applyNumberFormat="1" applyFill="1" applyBorder="1"/>
    <xf numFmtId="0" fontId="7" fillId="4" borderId="13" xfId="0" applyNumberFormat="1" applyFont="1" applyFill="1" applyBorder="1" applyAlignment="1" applyProtection="1">
      <alignment horizontal="left"/>
      <protection locked="0"/>
    </xf>
    <xf numFmtId="0" fontId="7" fillId="4" borderId="14" xfId="0" applyNumberFormat="1" applyFont="1" applyFill="1" applyBorder="1" applyAlignment="1" applyProtection="1">
      <alignment horizontal="left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7" fillId="4" borderId="15" xfId="0" applyNumberFormat="1" applyFont="1" applyFill="1" applyBorder="1" applyAlignment="1" applyProtection="1">
      <alignment horizontal="left"/>
      <protection locked="0"/>
    </xf>
    <xf numFmtId="0" fontId="7" fillId="4" borderId="16" xfId="0" applyNumberFormat="1" applyFont="1" applyFill="1" applyBorder="1" applyAlignment="1" applyProtection="1">
      <alignment horizontal="left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7" fillId="4" borderId="11" xfId="0" applyNumberFormat="1" applyFont="1" applyFill="1" applyBorder="1" applyAlignment="1" applyProtection="1">
      <alignment horizontal="left"/>
      <protection locked="0"/>
    </xf>
    <xf numFmtId="0" fontId="7" fillId="4" borderId="12" xfId="0" applyNumberFormat="1" applyFont="1" applyFill="1" applyBorder="1" applyAlignment="1" applyProtection="1">
      <alignment horizontal="left"/>
      <protection locked="0"/>
    </xf>
    <xf numFmtId="0" fontId="1" fillId="0" borderId="11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9" fillId="0" borderId="11" xfId="0" applyNumberFormat="1" applyFont="1" applyFill="1" applyBorder="1" applyAlignment="1" applyProtection="1">
      <alignment horizontal="center"/>
      <protection locked="0"/>
    </xf>
    <xf numFmtId="0" fontId="19" fillId="0" borderId="9" xfId="0" applyNumberFormat="1" applyFont="1" applyFill="1" applyBorder="1" applyAlignment="1" applyProtection="1">
      <alignment horizontal="center"/>
      <protection locked="0"/>
    </xf>
    <xf numFmtId="0" fontId="19" fillId="0" borderId="12" xfId="0" applyNumberFormat="1" applyFont="1" applyFill="1" applyBorder="1" applyAlignment="1" applyProtection="1">
      <alignment horizontal="center"/>
      <protection locked="0"/>
    </xf>
    <xf numFmtId="0" fontId="19" fillId="0" borderId="13" xfId="0" applyNumberFormat="1" applyFont="1" applyFill="1" applyBorder="1" applyAlignment="1" applyProtection="1">
      <alignment horizontal="center"/>
      <protection locked="0"/>
    </xf>
    <xf numFmtId="0" fontId="19" fillId="0" borderId="10" xfId="0" applyNumberFormat="1" applyFont="1" applyFill="1" applyBorder="1" applyAlignment="1" applyProtection="1">
      <alignment horizontal="center"/>
      <protection locked="0"/>
    </xf>
    <xf numFmtId="0" fontId="19" fillId="0" borderId="14" xfId="0" applyNumberFormat="1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19" fillId="0" borderId="15" xfId="0" applyNumberFormat="1" applyFont="1" applyFill="1" applyBorder="1" applyAlignment="1" applyProtection="1">
      <alignment horizontal="center"/>
      <protection locked="0"/>
    </xf>
    <xf numFmtId="0" fontId="19" fillId="0" borderId="8" xfId="0" applyNumberFormat="1" applyFont="1" applyFill="1" applyBorder="1" applyAlignment="1" applyProtection="1">
      <alignment horizontal="center"/>
      <protection locked="0"/>
    </xf>
    <xf numFmtId="0" fontId="19" fillId="0" borderId="16" xfId="0" applyNumberFormat="1" applyFont="1" applyFill="1" applyBorder="1" applyAlignment="1" applyProtection="1">
      <alignment horizontal="center"/>
      <protection locked="0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/>
  </cellXfs>
  <cellStyles count="4">
    <cellStyle name="Excel Built-in Normal" xfId="2"/>
    <cellStyle name="Hyperlink" xfId="3" builtinId="8"/>
    <cellStyle name="Normal" xfId="0" builtinId="0"/>
    <cellStyle name="Normal_MogulsDD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dgesTemplat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Park &amp; Pipe"/>
      <sheetName val="Park &amp; Pipe 2nd Round"/>
      <sheetName val="Moguls Singles"/>
      <sheetName val="MogulsDD"/>
      <sheetName val="Duals Elimination"/>
      <sheetName val="Duals 16"/>
      <sheetName val="Duals 8"/>
      <sheetName val="Duals 4"/>
      <sheetName val="CrossTimedRuns"/>
      <sheetName val="SX 32"/>
      <sheetName val="SX 32 2 Thru"/>
      <sheetName val="SX 16"/>
      <sheetName val="SX 8"/>
      <sheetName val="Race Rules"/>
      <sheetName val="Judges Cards"/>
      <sheetName val="FI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3">
          <cell r="B13">
            <v>45</v>
          </cell>
        </row>
        <row r="33">
          <cell r="L33">
            <v>9999</v>
          </cell>
        </row>
        <row r="34">
          <cell r="L34">
            <v>9999</v>
          </cell>
        </row>
        <row r="35">
          <cell r="L35">
            <v>9999</v>
          </cell>
        </row>
        <row r="36">
          <cell r="L36">
            <v>9999</v>
          </cell>
        </row>
        <row r="37">
          <cell r="L37">
            <v>9999</v>
          </cell>
        </row>
        <row r="38">
          <cell r="L38">
            <v>9999</v>
          </cell>
        </row>
        <row r="39">
          <cell r="L39">
            <v>9999</v>
          </cell>
        </row>
        <row r="40">
          <cell r="L40">
            <v>9999</v>
          </cell>
        </row>
        <row r="41">
          <cell r="L41">
            <v>9999</v>
          </cell>
        </row>
        <row r="42">
          <cell r="L42">
            <v>9999</v>
          </cell>
        </row>
        <row r="43">
          <cell r="L43">
            <v>9999</v>
          </cell>
        </row>
        <row r="44">
          <cell r="L44">
            <v>9999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fis-ski.com/freestyle-skiing/biographies.html" TargetMode="External"/><Relationship Id="rId1" Type="http://schemas.openxmlformats.org/officeDocument/2006/relationships/hyperlink" Target="http://data.fis-ski.com/dynamic/event-details.html?event_id=36203&amp;cal_suchsector=FS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fis-ski.com/freestyle-skiing/biographies.html" TargetMode="External"/><Relationship Id="rId1" Type="http://schemas.openxmlformats.org/officeDocument/2006/relationships/hyperlink" Target="http://data.fis-ski.com/dynamic/event-details.html?event_id=36203&amp;cal_suchsector=FS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fis-ski.com/freestyle-skiing/biographies.html" TargetMode="External"/><Relationship Id="rId1" Type="http://schemas.openxmlformats.org/officeDocument/2006/relationships/hyperlink" Target="http://data.fis-ski.com/dynamic/event-details.html?event_id=36203&amp;cal_suchsector=F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fis-ski.com/freestyle-skiing/biographies.html" TargetMode="External"/><Relationship Id="rId1" Type="http://schemas.openxmlformats.org/officeDocument/2006/relationships/hyperlink" Target="http://data.fis-ski.com/dynamic/event-details.html?event_id=36203&amp;cal_suchsector=F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fis-ski.com/freestyle-skiing/biographies.html" TargetMode="External"/><Relationship Id="rId1" Type="http://schemas.openxmlformats.org/officeDocument/2006/relationships/hyperlink" Target="http://data.fis-ski.com/dynamic/event-details.html?event_id=36203&amp;cal_suchsector=FS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fis-ski.com/freestyle-skiing/biographies.html" TargetMode="External"/><Relationship Id="rId1" Type="http://schemas.openxmlformats.org/officeDocument/2006/relationships/hyperlink" Target="http://data.fis-ski.com/dynamic/event-details.html?event_id=36203&amp;cal_suchsector=FS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fis-ski.com/freestyle-skiing/biographies.html" TargetMode="External"/><Relationship Id="rId1" Type="http://schemas.openxmlformats.org/officeDocument/2006/relationships/hyperlink" Target="http://data.fis-ski.com/dynamic/event-details.html?event_id=36203&amp;cal_suchsector=F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fis-ski.com/freestyle-skiing/biographies.html" TargetMode="External"/><Relationship Id="rId1" Type="http://schemas.openxmlformats.org/officeDocument/2006/relationships/hyperlink" Target="http://data.fis-ski.com/dynamic/event-details.html?event_id=36203&amp;cal_suchsector=FS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fis-ski.com/freestyle-skiing/biographies.html" TargetMode="External"/><Relationship Id="rId1" Type="http://schemas.openxmlformats.org/officeDocument/2006/relationships/hyperlink" Target="http://data.fis-ski.com/dynamic/event-details.html?event_id=36203&amp;cal_suchsector=FS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data.fis-ski.com/freestyle-skiing/biographies.html" TargetMode="External"/><Relationship Id="rId1" Type="http://schemas.openxmlformats.org/officeDocument/2006/relationships/hyperlink" Target="http://data.fis-ski.com/dynamic/event-details.html?event_id=36203&amp;cal_suchsector=F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96"/>
  <sheetViews>
    <sheetView workbookViewId="0">
      <selection activeCell="K5" sqref="K5"/>
    </sheetView>
  </sheetViews>
  <sheetFormatPr defaultColWidth="11.44140625" defaultRowHeight="13.2"/>
  <cols>
    <col min="2" max="2" width="8.109375" customWidth="1"/>
    <col min="3" max="3" width="17.44140625" bestFit="1" customWidth="1"/>
    <col min="4" max="4" width="22" customWidth="1"/>
    <col min="5" max="5" width="18.44140625" customWidth="1"/>
    <col min="6" max="6" width="11.109375" customWidth="1"/>
    <col min="8" max="8" width="16.6640625" bestFit="1" customWidth="1"/>
    <col min="9" max="9" width="16.5546875" bestFit="1" customWidth="1"/>
  </cols>
  <sheetData>
    <row r="1" spans="1:39" ht="24.6">
      <c r="A1" s="159"/>
      <c r="B1" s="159"/>
      <c r="C1" s="159"/>
      <c r="D1" s="159"/>
      <c r="E1" s="159"/>
      <c r="F1" s="159"/>
      <c r="G1" s="159"/>
      <c r="H1" s="159"/>
      <c r="I1" s="15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9" ht="17.399999999999999">
      <c r="A2" s="160" t="s">
        <v>227</v>
      </c>
      <c r="B2" s="160"/>
      <c r="C2" s="160"/>
      <c r="D2" s="160"/>
      <c r="E2" s="160"/>
      <c r="F2" s="160"/>
      <c r="G2" s="160"/>
      <c r="H2" s="160"/>
      <c r="I2" s="160"/>
      <c r="J2" s="95" t="s">
        <v>198</v>
      </c>
      <c r="K2" s="1"/>
      <c r="L2" s="95" t="s">
        <v>197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9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9" ht="13.8" thickBot="1">
      <c r="A4" s="7"/>
      <c r="B4" s="1"/>
      <c r="C4" s="1"/>
      <c r="D4" s="1"/>
      <c r="E4" s="1"/>
      <c r="F4" s="1"/>
      <c r="G4" s="1"/>
      <c r="H4" s="1"/>
      <c r="I4" s="1"/>
      <c r="J4" s="1" t="s">
        <v>152</v>
      </c>
      <c r="K4" s="1" t="s">
        <v>151</v>
      </c>
      <c r="L4" s="1"/>
      <c r="M4" s="1" t="s">
        <v>11</v>
      </c>
      <c r="N4" s="1" t="s">
        <v>219</v>
      </c>
      <c r="O4" s="1"/>
      <c r="P4" s="1" t="s">
        <v>216</v>
      </c>
      <c r="Q4" s="1" t="s">
        <v>224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9">
      <c r="A5" s="161" t="s">
        <v>6</v>
      </c>
      <c r="B5" s="162"/>
      <c r="C5" s="163" t="s">
        <v>218</v>
      </c>
      <c r="D5" s="164"/>
      <c r="E5" s="164"/>
      <c r="F5" s="165"/>
      <c r="G5" s="1"/>
      <c r="H5" s="1"/>
      <c r="I5" s="36" t="s">
        <v>69</v>
      </c>
      <c r="J5" s="1">
        <v>17.57</v>
      </c>
      <c r="K5" s="1">
        <v>20.71</v>
      </c>
      <c r="L5" s="1"/>
      <c r="M5" s="1" t="s">
        <v>12</v>
      </c>
      <c r="N5" s="1" t="s">
        <v>220</v>
      </c>
      <c r="O5" s="1"/>
      <c r="P5" s="1" t="s">
        <v>217</v>
      </c>
      <c r="Q5" s="1" t="s">
        <v>222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9">
      <c r="A6" s="149" t="s">
        <v>7</v>
      </c>
      <c r="B6" s="150"/>
      <c r="C6" s="151" t="s">
        <v>230</v>
      </c>
      <c r="D6" s="152"/>
      <c r="E6" s="152"/>
      <c r="F6" s="153"/>
      <c r="G6" s="1"/>
      <c r="H6" s="1"/>
      <c r="I6" s="1"/>
      <c r="J6" s="1"/>
      <c r="K6" s="1"/>
      <c r="L6" s="1"/>
      <c r="M6" s="1" t="s">
        <v>15</v>
      </c>
      <c r="N6" s="1" t="s">
        <v>221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9">
      <c r="A7" s="149" t="s">
        <v>8</v>
      </c>
      <c r="B7" s="150"/>
      <c r="C7" s="151" t="s">
        <v>242</v>
      </c>
      <c r="D7" s="152"/>
      <c r="E7" s="152"/>
      <c r="F7" s="153"/>
      <c r="G7" s="1"/>
      <c r="H7" s="1"/>
      <c r="I7" s="1" t="s">
        <v>253</v>
      </c>
      <c r="J7" s="1"/>
      <c r="K7" s="1"/>
      <c r="L7" s="1"/>
      <c r="M7" s="1" t="s">
        <v>214</v>
      </c>
      <c r="N7" s="1" t="s">
        <v>222</v>
      </c>
      <c r="O7" s="1"/>
      <c r="P7" s="1" t="s">
        <v>225</v>
      </c>
      <c r="Q7" s="1" t="s">
        <v>226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9">
      <c r="A8" s="149" t="s">
        <v>9</v>
      </c>
      <c r="B8" s="150"/>
      <c r="C8" s="151" t="s">
        <v>104</v>
      </c>
      <c r="D8" s="152"/>
      <c r="E8" s="152"/>
      <c r="F8" s="153"/>
      <c r="G8" s="1"/>
      <c r="H8" s="1"/>
      <c r="I8" s="1"/>
      <c r="J8" s="1"/>
      <c r="K8" s="1"/>
      <c r="L8" s="1"/>
      <c r="M8" s="1" t="s">
        <v>215</v>
      </c>
      <c r="N8" s="1" t="s">
        <v>223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9" ht="13.8" thickBot="1">
      <c r="A9" s="154" t="s">
        <v>10</v>
      </c>
      <c r="B9" s="155"/>
      <c r="C9" s="156" t="s">
        <v>105</v>
      </c>
      <c r="D9" s="157"/>
      <c r="E9" s="157"/>
      <c r="F9" s="15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37"/>
      <c r="AL9" s="37"/>
      <c r="AM9" s="37"/>
    </row>
    <row r="10" spans="1:39" ht="13.8" thickBot="1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9"/>
      <c r="AL10" s="37"/>
      <c r="AM10" s="37"/>
    </row>
    <row r="11" spans="1:39" ht="13.8" thickBot="1">
      <c r="A11" s="8"/>
      <c r="B11" s="5"/>
      <c r="C11" s="5"/>
      <c r="D11" s="5"/>
      <c r="E11" s="20" t="s">
        <v>228</v>
      </c>
      <c r="F11" s="5"/>
      <c r="G11" s="5"/>
      <c r="H11" s="5"/>
      <c r="I11" s="6"/>
      <c r="J11" s="21"/>
      <c r="K11" s="9"/>
      <c r="L11" s="9"/>
      <c r="M11" s="9"/>
      <c r="N11" s="9"/>
      <c r="O11" s="9"/>
      <c r="P11" s="9"/>
      <c r="Q11" s="9"/>
      <c r="R11" s="9"/>
      <c r="S11" s="9"/>
      <c r="T11" s="45"/>
      <c r="U11" s="38"/>
      <c r="V11" s="38"/>
      <c r="W11" s="38"/>
      <c r="X11" s="38"/>
      <c r="Y11" s="38"/>
      <c r="Z11" s="38"/>
      <c r="AA11" s="38"/>
      <c r="AB11" s="38"/>
      <c r="AC11" s="38"/>
      <c r="AD11" s="40"/>
      <c r="AE11" s="38"/>
      <c r="AF11" s="38"/>
      <c r="AG11" s="38"/>
      <c r="AH11" s="38"/>
      <c r="AI11" s="40"/>
      <c r="AJ11" s="38"/>
      <c r="AK11" s="39"/>
      <c r="AL11" s="37"/>
      <c r="AM11" s="37"/>
    </row>
    <row r="12" spans="1:39" ht="13.8" thickBot="1">
      <c r="A12" s="2" t="s">
        <v>0</v>
      </c>
      <c r="B12" s="3" t="s">
        <v>1</v>
      </c>
      <c r="C12" s="3" t="s">
        <v>252</v>
      </c>
      <c r="D12" s="3" t="s">
        <v>111</v>
      </c>
      <c r="E12" s="3" t="s">
        <v>238</v>
      </c>
      <c r="F12" s="3" t="s">
        <v>16</v>
      </c>
      <c r="G12" s="3" t="s">
        <v>3</v>
      </c>
      <c r="H12" s="3" t="s">
        <v>4</v>
      </c>
      <c r="I12" s="4" t="s">
        <v>5</v>
      </c>
      <c r="J12" s="2" t="s">
        <v>11</v>
      </c>
      <c r="K12" s="3" t="s">
        <v>12</v>
      </c>
      <c r="L12" s="3" t="s">
        <v>13</v>
      </c>
      <c r="M12" s="3" t="s">
        <v>66</v>
      </c>
      <c r="N12" s="3" t="s">
        <v>65</v>
      </c>
      <c r="O12" s="3" t="s">
        <v>67</v>
      </c>
      <c r="P12" s="3" t="s">
        <v>68</v>
      </c>
      <c r="Q12" s="3" t="s">
        <v>59</v>
      </c>
      <c r="R12" s="3" t="s">
        <v>60</v>
      </c>
      <c r="S12" s="3" t="s">
        <v>22</v>
      </c>
      <c r="T12" s="46" t="s">
        <v>14</v>
      </c>
      <c r="U12" s="41"/>
      <c r="V12" s="41"/>
      <c r="W12" s="41"/>
      <c r="X12" s="41"/>
      <c r="Y12" s="42"/>
      <c r="Z12" s="41"/>
      <c r="AA12" s="41"/>
      <c r="AB12" s="41"/>
      <c r="AC12" s="41"/>
      <c r="AD12" s="42"/>
      <c r="AE12" s="41"/>
      <c r="AF12" s="41"/>
      <c r="AG12" s="41"/>
      <c r="AH12" s="41"/>
      <c r="AI12" s="42"/>
      <c r="AJ12" s="43"/>
      <c r="AK12" s="39"/>
      <c r="AL12" s="37"/>
      <c r="AM12" s="37"/>
    </row>
    <row r="13" spans="1:39">
      <c r="A13" s="19">
        <f t="shared" ref="A13:A27" si="0">RANK(T13,$T$13:$T$27,0)</f>
        <v>1</v>
      </c>
      <c r="B13" s="22">
        <v>61</v>
      </c>
      <c r="C13" s="22">
        <v>7</v>
      </c>
      <c r="D13" s="22" t="s">
        <v>176</v>
      </c>
      <c r="E13" s="22">
        <v>2531087</v>
      </c>
      <c r="F13" s="22" t="s">
        <v>173</v>
      </c>
      <c r="G13" s="22" t="s">
        <v>239</v>
      </c>
      <c r="H13" s="22" t="s">
        <v>177</v>
      </c>
      <c r="I13" s="23" t="s">
        <v>178</v>
      </c>
      <c r="J13" s="24">
        <v>3.4</v>
      </c>
      <c r="K13" s="25">
        <v>3.5</v>
      </c>
      <c r="L13" s="25">
        <v>3.6</v>
      </c>
      <c r="M13" s="51">
        <v>1.7</v>
      </c>
      <c r="N13" s="51">
        <v>1.4</v>
      </c>
      <c r="O13" s="49">
        <v>2</v>
      </c>
      <c r="P13" s="49">
        <v>1.4</v>
      </c>
      <c r="Q13" s="49" t="s">
        <v>56</v>
      </c>
      <c r="R13" s="49" t="s">
        <v>277</v>
      </c>
      <c r="S13" s="25">
        <v>20.59</v>
      </c>
      <c r="T13" s="26">
        <f>(J13+K13+L13)+IF((VLOOKUP(Q13,MogulsDD!$A$1:$D$1000,4,FALSE)*(M13+O13)/2)&gt;3.75,3.75,VLOOKUP(Q13,MogulsDD!$A$1:$D$1000,4,FALSE)*(M13+O13)/2)+IF((VLOOKUP(R13,MogulsDD!$A$1:$D$1000,4,FALSE)*(N13+P13)/2)&gt;3.75,3.75,VLOOKUP(R13,MogulsDD!$A$1:$D$1000,4,FALSE)*(N13+P13)/2)+IF((18-12*S13/$K$5)&gt;7.5,7.5,IF((18-12*S13/$K$5)&lt;0,0,(18-12*S13/$K$5)))</f>
        <v>19.988531627233222</v>
      </c>
      <c r="U13" s="38"/>
      <c r="V13" s="38"/>
      <c r="W13" s="38"/>
      <c r="X13" s="38"/>
      <c r="Y13" s="39"/>
      <c r="Z13" s="38"/>
      <c r="AA13" s="38"/>
      <c r="AB13" s="38"/>
      <c r="AC13" s="38"/>
      <c r="AD13" s="39"/>
      <c r="AE13" s="38"/>
      <c r="AF13" s="38"/>
      <c r="AG13" s="38"/>
      <c r="AH13" s="38"/>
      <c r="AI13" s="39"/>
      <c r="AJ13" s="44"/>
      <c r="AK13" s="39"/>
      <c r="AL13" s="37"/>
      <c r="AM13" s="37"/>
    </row>
    <row r="14" spans="1:39">
      <c r="A14" s="19">
        <f t="shared" si="0"/>
        <v>2</v>
      </c>
      <c r="B14" s="22">
        <v>134</v>
      </c>
      <c r="C14" s="22">
        <v>2</v>
      </c>
      <c r="D14" s="22" t="s">
        <v>236</v>
      </c>
      <c r="E14" s="22">
        <v>2528719</v>
      </c>
      <c r="F14" s="22"/>
      <c r="G14" s="22" t="s">
        <v>240</v>
      </c>
      <c r="H14" s="22" t="s">
        <v>251</v>
      </c>
      <c r="I14" s="23"/>
      <c r="J14" s="27">
        <v>3.4</v>
      </c>
      <c r="K14" s="28">
        <v>3.3</v>
      </c>
      <c r="L14" s="28">
        <v>3.6</v>
      </c>
      <c r="M14" s="52">
        <v>1.5</v>
      </c>
      <c r="N14" s="52">
        <v>1.6</v>
      </c>
      <c r="O14" s="49">
        <v>1.6</v>
      </c>
      <c r="P14" s="49">
        <v>1.7</v>
      </c>
      <c r="Q14" s="49" t="s">
        <v>270</v>
      </c>
      <c r="R14" s="49" t="s">
        <v>61</v>
      </c>
      <c r="S14" s="25">
        <v>21.43</v>
      </c>
      <c r="T14" s="26">
        <f>(J14+K14+L14)+IF((VLOOKUP(Q14,MogulsDD!$A$1:$D$1000,4,FALSE)*(M14+O14)/2)&gt;3.75,3.75,VLOOKUP(Q14,MogulsDD!$A$1:$D$1000,4,FALSE)*(M14+O14)/2)+IF((VLOOKUP(R14,MogulsDD!$A$1:$D$1000,4,FALSE)*(N14+P14)/2)&gt;3.75,3.75,VLOOKUP(R14,MogulsDD!$A$1:$D$1000,4,FALSE)*(N14+P14)/2)+IF((18-12*S14/$K$5)&gt;7.5,7.5,IF((18-12*S14/$K$5)&lt;0,0,(18-12*S14/$K$5)))</f>
        <v>19.722810236600679</v>
      </c>
      <c r="U14" s="38"/>
      <c r="V14" s="38"/>
      <c r="W14" s="38"/>
      <c r="X14" s="38"/>
      <c r="Y14" s="39"/>
      <c r="Z14" s="38"/>
      <c r="AA14" s="38"/>
      <c r="AB14" s="38"/>
      <c r="AC14" s="38"/>
      <c r="AD14" s="39"/>
      <c r="AE14" s="38"/>
      <c r="AF14" s="38"/>
      <c r="AG14" s="38"/>
      <c r="AH14" s="38"/>
      <c r="AI14" s="39"/>
      <c r="AJ14" s="44"/>
      <c r="AK14" s="39"/>
      <c r="AL14" s="37"/>
      <c r="AM14" s="37"/>
    </row>
    <row r="15" spans="1:39">
      <c r="A15" s="19">
        <f t="shared" si="0"/>
        <v>3</v>
      </c>
      <c r="B15" s="22">
        <v>113</v>
      </c>
      <c r="C15" s="22">
        <v>9</v>
      </c>
      <c r="D15" s="22" t="s">
        <v>235</v>
      </c>
      <c r="E15" s="22"/>
      <c r="F15" s="22"/>
      <c r="G15" s="22" t="s">
        <v>240</v>
      </c>
      <c r="H15" s="22" t="s">
        <v>250</v>
      </c>
      <c r="I15" s="23"/>
      <c r="J15" s="27">
        <v>3.3</v>
      </c>
      <c r="K15" s="28">
        <v>3.1</v>
      </c>
      <c r="L15" s="28">
        <v>3.6</v>
      </c>
      <c r="M15" s="52">
        <v>1.9</v>
      </c>
      <c r="N15" s="52">
        <v>1.9</v>
      </c>
      <c r="O15" s="49">
        <v>1.8</v>
      </c>
      <c r="P15" s="49">
        <v>1.8</v>
      </c>
      <c r="Q15" s="49" t="s">
        <v>274</v>
      </c>
      <c r="R15" s="49" t="s">
        <v>276</v>
      </c>
      <c r="S15" s="25">
        <v>21.62</v>
      </c>
      <c r="T15" s="26">
        <f>(J15+K15+L15)+IF((VLOOKUP(Q15,MogulsDD!$A$1:$D$1000,4,FALSE)*(M15+O15)/2)&gt;3.75,3.75,VLOOKUP(Q15,MogulsDD!$A$1:$D$1000,4,FALSE)*(M15+O15)/2)+IF((VLOOKUP(R15,MogulsDD!$A$1:$D$1000,4,FALSE)*(N15+P15)/2)&gt;3.75,3.75,VLOOKUP(R15,MogulsDD!$A$1:$D$1000,4,FALSE)*(N15+P15)/2)+IF((18-12*S15/$K$5)&gt;7.5,7.5,IF((18-12*S15/$K$5)&lt;0,0,(18-12*S15/$K$5)))</f>
        <v>19.11721849348141</v>
      </c>
      <c r="U15" s="38"/>
      <c r="V15" s="38"/>
      <c r="W15" s="38"/>
      <c r="X15" s="38"/>
      <c r="Y15" s="39"/>
      <c r="Z15" s="38"/>
      <c r="AA15" s="38"/>
      <c r="AB15" s="38"/>
      <c r="AC15" s="38"/>
      <c r="AD15" s="39"/>
      <c r="AE15" s="38"/>
      <c r="AF15" s="38"/>
      <c r="AG15" s="38"/>
      <c r="AH15" s="38"/>
      <c r="AI15" s="39"/>
      <c r="AJ15" s="44"/>
      <c r="AK15" s="39"/>
      <c r="AL15" s="37"/>
      <c r="AM15" s="37"/>
    </row>
    <row r="16" spans="1:39">
      <c r="A16" s="19">
        <f t="shared" si="0"/>
        <v>4</v>
      </c>
      <c r="B16" s="22">
        <v>21</v>
      </c>
      <c r="C16" s="22">
        <v>11</v>
      </c>
      <c r="D16" s="22" t="s">
        <v>182</v>
      </c>
      <c r="E16" s="22">
        <v>2530097</v>
      </c>
      <c r="F16" s="22" t="s">
        <v>173</v>
      </c>
      <c r="G16" s="22" t="s">
        <v>239</v>
      </c>
      <c r="H16" s="22" t="s">
        <v>183</v>
      </c>
      <c r="I16" s="23" t="s">
        <v>115</v>
      </c>
      <c r="J16" s="27">
        <v>3.5</v>
      </c>
      <c r="K16" s="28">
        <v>3.2</v>
      </c>
      <c r="L16" s="28">
        <v>3.3</v>
      </c>
      <c r="M16" s="52">
        <v>1.4</v>
      </c>
      <c r="N16" s="52">
        <v>0.9</v>
      </c>
      <c r="O16" s="49">
        <v>1.5</v>
      </c>
      <c r="P16" s="49">
        <v>1.1000000000000001</v>
      </c>
      <c r="Q16" s="49" t="s">
        <v>61</v>
      </c>
      <c r="R16" s="49" t="s">
        <v>275</v>
      </c>
      <c r="S16" s="25">
        <v>21.71</v>
      </c>
      <c r="T16" s="26">
        <f>(J16+K16+L16)+IF((VLOOKUP(Q16,MogulsDD!$A$1:$D$1000,4,FALSE)*(M16+O16)/2)&gt;3.75,3.75,VLOOKUP(Q16,MogulsDD!$A$1:$D$1000,4,FALSE)*(M16+O16)/2)+IF((VLOOKUP(R16,MogulsDD!$A$1:$D$1000,4,FALSE)*(N16+P16)/2)&gt;3.75,3.75,VLOOKUP(R16,MogulsDD!$A$1:$D$1000,4,FALSE)*(N16+P16)/2)+IF((18-12*S16/$K$5)&gt;7.5,7.5,IF((18-12*S16/$K$5)&lt;0,0,(18-12*S16/$K$5)))</f>
        <v>18.100569773056495</v>
      </c>
      <c r="U16" s="38"/>
      <c r="V16" s="38"/>
      <c r="W16" s="38"/>
      <c r="X16" s="38"/>
      <c r="Y16" s="39"/>
      <c r="Z16" s="38"/>
      <c r="AA16" s="38"/>
      <c r="AB16" s="38"/>
      <c r="AC16" s="38"/>
      <c r="AD16" s="39"/>
      <c r="AE16" s="38"/>
      <c r="AF16" s="38"/>
      <c r="AG16" s="38"/>
      <c r="AH16" s="38"/>
      <c r="AI16" s="39"/>
      <c r="AJ16" s="44"/>
      <c r="AK16" s="39"/>
      <c r="AL16" s="37"/>
      <c r="AM16" s="37"/>
    </row>
    <row r="17" spans="1:39">
      <c r="A17" s="19">
        <f t="shared" si="0"/>
        <v>5</v>
      </c>
      <c r="B17" s="22">
        <v>87</v>
      </c>
      <c r="C17" s="22">
        <v>5</v>
      </c>
      <c r="D17" s="22" t="s">
        <v>153</v>
      </c>
      <c r="E17" s="22"/>
      <c r="F17" s="22" t="s">
        <v>154</v>
      </c>
      <c r="G17" s="22" t="s">
        <v>122</v>
      </c>
      <c r="H17" s="22" t="s">
        <v>155</v>
      </c>
      <c r="I17" s="23" t="s">
        <v>133</v>
      </c>
      <c r="J17" s="27">
        <v>3.4</v>
      </c>
      <c r="K17" s="28">
        <v>3.1</v>
      </c>
      <c r="L17" s="28">
        <v>3.1</v>
      </c>
      <c r="M17" s="52">
        <v>1.3</v>
      </c>
      <c r="N17" s="52">
        <v>1.3</v>
      </c>
      <c r="O17" s="49">
        <v>1.4</v>
      </c>
      <c r="P17" s="49">
        <v>1.5</v>
      </c>
      <c r="Q17" s="49" t="s">
        <v>273</v>
      </c>
      <c r="R17" s="49" t="s">
        <v>61</v>
      </c>
      <c r="S17" s="25">
        <v>22.91</v>
      </c>
      <c r="T17" s="26">
        <f>(J17+K17+L17)+IF((VLOOKUP(Q17,MogulsDD!$A$1:$D$1000,4,FALSE)*(M17+O17)/2)&gt;3.75,3.75,VLOOKUP(Q17,MogulsDD!$A$1:$D$1000,4,FALSE)*(M17+O17)/2)+IF((VLOOKUP(R17,MogulsDD!$A$1:$D$1000,4,FALSE)*(N17+P17)/2)&gt;3.75,3.75,VLOOKUP(R17,MogulsDD!$A$1:$D$1000,4,FALSE)*(N17+P17)/2)+IF((18-12*S17/$K$5)&gt;7.5,7.5,IF((18-12*S17/$K$5)&lt;0,0,(18-12*S17/$K$5)))</f>
        <v>17.220253500724287</v>
      </c>
      <c r="U17" s="38"/>
      <c r="V17" s="38"/>
      <c r="W17" s="38"/>
      <c r="X17" s="38"/>
      <c r="Y17" s="39"/>
      <c r="Z17" s="38"/>
      <c r="AA17" s="38"/>
      <c r="AB17" s="38"/>
      <c r="AC17" s="38"/>
      <c r="AD17" s="39"/>
      <c r="AE17" s="38"/>
      <c r="AF17" s="38"/>
      <c r="AG17" s="38"/>
      <c r="AH17" s="38"/>
      <c r="AI17" s="39"/>
      <c r="AJ17" s="44"/>
      <c r="AK17" s="39"/>
      <c r="AL17" s="37"/>
      <c r="AM17" s="37"/>
    </row>
    <row r="18" spans="1:39" ht="13.8" thickBot="1">
      <c r="A18" s="19">
        <f t="shared" si="0"/>
        <v>6</v>
      </c>
      <c r="B18" s="14">
        <v>99</v>
      </c>
      <c r="C18" s="14">
        <v>1</v>
      </c>
      <c r="D18" s="14" t="s">
        <v>184</v>
      </c>
      <c r="E18" s="22"/>
      <c r="F18" s="14" t="s">
        <v>185</v>
      </c>
      <c r="G18" s="14" t="s">
        <v>122</v>
      </c>
      <c r="H18" s="14" t="s">
        <v>186</v>
      </c>
      <c r="I18" s="18" t="s">
        <v>187</v>
      </c>
      <c r="J18" s="29">
        <v>3</v>
      </c>
      <c r="K18" s="30">
        <v>2.7</v>
      </c>
      <c r="L18" s="30">
        <v>2.8</v>
      </c>
      <c r="M18" s="53">
        <v>0</v>
      </c>
      <c r="N18" s="53">
        <v>1.7</v>
      </c>
      <c r="O18" s="50">
        <v>0</v>
      </c>
      <c r="P18" s="50">
        <v>1.4</v>
      </c>
      <c r="Q18" s="54" t="s">
        <v>55</v>
      </c>
      <c r="R18" s="54" t="s">
        <v>53</v>
      </c>
      <c r="S18" s="25">
        <v>20.16</v>
      </c>
      <c r="T18" s="26">
        <f>(J18+K18+L18)+IF((VLOOKUP(Q18,MogulsDD!$A$1:$D$1000,4,FALSE)*(M18+O18)/2)&gt;3.75,3.75,VLOOKUP(Q18,MogulsDD!$A$1:$D$1000,4,FALSE)*(M18+O18)/2)+IF((VLOOKUP(R18,MogulsDD!$A$1:$D$1000,4,FALSE)*(N18+P18)/2)&gt;3.75,3.75,VLOOKUP(R18,MogulsDD!$A$1:$D$1000,4,FALSE)*(N18+P18)/2)+IF((18-12*S18/$K$5)&gt;7.5,7.5,IF((18-12*S18/$K$5)&lt;0,0,(18-12*S18/$K$5)))</f>
        <v>15.996686624818929</v>
      </c>
      <c r="U18" s="38"/>
      <c r="V18" s="38"/>
      <c r="W18" s="38"/>
      <c r="X18" s="38"/>
      <c r="Y18" s="39"/>
      <c r="Z18" s="38"/>
      <c r="AA18" s="38"/>
      <c r="AB18" s="38"/>
      <c r="AC18" s="38"/>
      <c r="AD18" s="39"/>
      <c r="AE18" s="38"/>
      <c r="AF18" s="38"/>
      <c r="AG18" s="38"/>
      <c r="AH18" s="38"/>
      <c r="AI18" s="39"/>
      <c r="AJ18" s="44"/>
      <c r="AK18" s="39"/>
      <c r="AL18" s="37"/>
      <c r="AM18" s="37"/>
    </row>
    <row r="19" spans="1:39">
      <c r="A19" s="19">
        <f t="shared" si="0"/>
        <v>7</v>
      </c>
      <c r="B19" s="22">
        <v>38</v>
      </c>
      <c r="C19" s="22">
        <v>3</v>
      </c>
      <c r="D19" s="22" t="s">
        <v>179</v>
      </c>
      <c r="E19" s="22">
        <v>2530095</v>
      </c>
      <c r="F19" s="22" t="s">
        <v>173</v>
      </c>
      <c r="G19" s="22" t="s">
        <v>239</v>
      </c>
      <c r="H19" s="22" t="s">
        <v>180</v>
      </c>
      <c r="I19" s="23" t="s">
        <v>181</v>
      </c>
      <c r="J19" s="24">
        <v>3.4</v>
      </c>
      <c r="K19" s="25">
        <v>3.2</v>
      </c>
      <c r="L19" s="25">
        <v>3</v>
      </c>
      <c r="M19" s="51">
        <v>0</v>
      </c>
      <c r="N19" s="51">
        <v>0</v>
      </c>
      <c r="O19" s="49">
        <v>0</v>
      </c>
      <c r="P19" s="49">
        <v>0</v>
      </c>
      <c r="Q19" s="49" t="s">
        <v>271</v>
      </c>
      <c r="R19" s="49" t="s">
        <v>271</v>
      </c>
      <c r="S19" s="25">
        <v>20.99</v>
      </c>
      <c r="T19" s="26">
        <f>(J19+K19+L19)+IF((VLOOKUP(Q19,MogulsDD!$A$1:$D$1000,4,FALSE)*(M19+O19)/2)&gt;3.75,3.75,VLOOKUP(Q19,MogulsDD!$A$1:$D$1000,4,FALSE)*(M19+O19)/2)+IF((VLOOKUP(R19,MogulsDD!$A$1:$D$1000,4,FALSE)*(N19+P19)/2)&gt;3.75,3.75,VLOOKUP(R19,MogulsDD!$A$1:$D$1000,4,FALSE)*(N19+P19)/2)+IF((18-12*S19/$K$5)&gt;7.5,7.5,IF((18-12*S19/$K$5)&lt;0,0,(18-12*S19/$K$5)))</f>
        <v>15.437759536455818</v>
      </c>
      <c r="U19" s="38"/>
      <c r="V19" s="38"/>
      <c r="W19" s="38"/>
      <c r="X19" s="38"/>
      <c r="Y19" s="39"/>
      <c r="Z19" s="38"/>
      <c r="AA19" s="38"/>
      <c r="AB19" s="38"/>
      <c r="AC19" s="38"/>
      <c r="AD19" s="39"/>
      <c r="AE19" s="38"/>
      <c r="AF19" s="38"/>
      <c r="AG19" s="38"/>
      <c r="AH19" s="38"/>
      <c r="AI19" s="39"/>
      <c r="AJ19" s="44"/>
      <c r="AK19" s="39"/>
      <c r="AL19" s="37"/>
      <c r="AM19" s="37"/>
    </row>
    <row r="20" spans="1:39">
      <c r="A20" s="19">
        <f t="shared" si="0"/>
        <v>8</v>
      </c>
      <c r="B20" s="22">
        <v>124</v>
      </c>
      <c r="C20" s="22">
        <v>12</v>
      </c>
      <c r="D20" s="22" t="s">
        <v>241</v>
      </c>
      <c r="E20" s="22"/>
      <c r="F20" s="22">
        <v>22352</v>
      </c>
      <c r="G20" s="22" t="s">
        <v>122</v>
      </c>
      <c r="H20" s="22" t="s">
        <v>127</v>
      </c>
      <c r="I20" s="23" t="s">
        <v>128</v>
      </c>
      <c r="J20" s="27">
        <v>3.3</v>
      </c>
      <c r="K20" s="28">
        <v>2.9</v>
      </c>
      <c r="L20" s="28">
        <v>2.9</v>
      </c>
      <c r="M20" s="52">
        <v>1</v>
      </c>
      <c r="N20" s="52">
        <v>0</v>
      </c>
      <c r="O20" s="49">
        <v>0.7</v>
      </c>
      <c r="P20" s="49">
        <v>0</v>
      </c>
      <c r="Q20" s="49" t="s">
        <v>279</v>
      </c>
      <c r="R20" s="49" t="s">
        <v>280</v>
      </c>
      <c r="S20" s="25">
        <v>22</v>
      </c>
      <c r="T20" s="26">
        <f>(J20+K20+L20)+IF((VLOOKUP(Q20,MogulsDD!$A$1:$D$1000,4,FALSE)*(M20+O20)/2)&gt;3.75,3.75,VLOOKUP(Q20,MogulsDD!$A$1:$D$1000,4,FALSE)*(M20+O20)/2)+IF((VLOOKUP(R20,MogulsDD!$A$1:$D$1000,4,FALSE)*(N20+P20)/2)&gt;3.75,3.75,VLOOKUP(R20,MogulsDD!$A$1:$D$1000,4,FALSE)*(N20+P20)/2)+IF((18-12*S20/$K$5)&gt;7.5,7.5,IF((18-12*S20/$K$5)&lt;0,0,(18-12*S20/$K$5)))</f>
        <v>14.998535007242879</v>
      </c>
      <c r="U20" s="38"/>
      <c r="V20" s="38"/>
      <c r="W20" s="38"/>
      <c r="X20" s="38"/>
      <c r="Y20" s="39"/>
      <c r="Z20" s="38"/>
      <c r="AA20" s="38"/>
      <c r="AB20" s="38"/>
      <c r="AC20" s="38"/>
      <c r="AD20" s="39"/>
      <c r="AE20" s="38"/>
      <c r="AF20" s="38"/>
      <c r="AG20" s="38"/>
      <c r="AH20" s="38"/>
      <c r="AI20" s="39"/>
      <c r="AJ20" s="44"/>
      <c r="AK20" s="39"/>
      <c r="AL20" s="37"/>
      <c r="AM20" s="37"/>
    </row>
    <row r="21" spans="1:39">
      <c r="A21" s="19">
        <f t="shared" si="0"/>
        <v>9</v>
      </c>
      <c r="B21" s="22">
        <v>86</v>
      </c>
      <c r="C21" s="22">
        <v>13</v>
      </c>
      <c r="D21" s="22" t="s">
        <v>233</v>
      </c>
      <c r="E21" s="22"/>
      <c r="F21" s="22"/>
      <c r="G21" s="22" t="s">
        <v>240</v>
      </c>
      <c r="H21" s="100" t="s">
        <v>248</v>
      </c>
      <c r="I21" s="23"/>
      <c r="J21" s="27">
        <v>3</v>
      </c>
      <c r="K21" s="28">
        <v>2.8</v>
      </c>
      <c r="L21" s="28">
        <v>3</v>
      </c>
      <c r="M21" s="52">
        <v>0.7</v>
      </c>
      <c r="N21" s="52">
        <v>1.7</v>
      </c>
      <c r="O21" s="49">
        <v>0.6</v>
      </c>
      <c r="P21" s="49">
        <v>1.5</v>
      </c>
      <c r="Q21" s="49" t="s">
        <v>279</v>
      </c>
      <c r="R21" s="49" t="s">
        <v>276</v>
      </c>
      <c r="S21" s="25">
        <v>25.32</v>
      </c>
      <c r="T21" s="26">
        <f>(J21+K21+L21)+IF((VLOOKUP(Q21,MogulsDD!$A$1:$D$1000,4,FALSE)*(M21+O21)/2)&gt;3.75,3.75,VLOOKUP(Q21,MogulsDD!$A$1:$D$1000,4,FALSE)*(M21+O21)/2)+IF((VLOOKUP(R21,MogulsDD!$A$1:$D$1000,4,FALSE)*(N21+P21)/2)&gt;3.75,3.75,VLOOKUP(R21,MogulsDD!$A$1:$D$1000,4,FALSE)*(N21+P21)/2)+IF((18-12*S21/$K$5)&gt;7.5,7.5,IF((18-12*S21/$K$5)&lt;0,0,(18-12*S21/$K$5)))</f>
        <v>14.542826653790438</v>
      </c>
      <c r="U21" s="38"/>
      <c r="V21" s="38"/>
      <c r="W21" s="38"/>
      <c r="X21" s="38"/>
      <c r="Y21" s="39"/>
      <c r="Z21" s="38"/>
      <c r="AA21" s="38"/>
      <c r="AB21" s="38"/>
      <c r="AC21" s="38"/>
      <c r="AD21" s="39"/>
      <c r="AE21" s="38"/>
      <c r="AF21" s="38"/>
      <c r="AG21" s="38"/>
      <c r="AH21" s="38"/>
      <c r="AI21" s="39"/>
      <c r="AJ21" s="44"/>
      <c r="AK21" s="39"/>
      <c r="AL21" s="37"/>
      <c r="AM21" s="37"/>
    </row>
    <row r="22" spans="1:39">
      <c r="A22" s="19">
        <f t="shared" si="0"/>
        <v>10</v>
      </c>
      <c r="B22" s="22">
        <v>85</v>
      </c>
      <c r="C22" s="22">
        <v>4</v>
      </c>
      <c r="D22" s="22" t="s">
        <v>212</v>
      </c>
      <c r="E22" s="22">
        <v>2532171</v>
      </c>
      <c r="F22" s="22" t="s">
        <v>206</v>
      </c>
      <c r="G22" s="22" t="s">
        <v>207</v>
      </c>
      <c r="H22" s="99" t="s">
        <v>245</v>
      </c>
      <c r="I22" s="23" t="s">
        <v>213</v>
      </c>
      <c r="J22" s="27">
        <v>2.1</v>
      </c>
      <c r="K22" s="28">
        <v>2</v>
      </c>
      <c r="L22" s="28">
        <v>2.2999999999999998</v>
      </c>
      <c r="M22" s="52">
        <v>1.4</v>
      </c>
      <c r="N22" s="52">
        <v>0.8</v>
      </c>
      <c r="O22" s="49">
        <v>1.6</v>
      </c>
      <c r="P22" s="49">
        <v>0.7</v>
      </c>
      <c r="Q22" s="49" t="s">
        <v>61</v>
      </c>
      <c r="R22" s="49" t="s">
        <v>272</v>
      </c>
      <c r="S22" s="25">
        <v>23.18</v>
      </c>
      <c r="T22" s="26">
        <f>(J22+K22+L22)+IF((VLOOKUP(Q22,MogulsDD!$A$1:$D$1000,4,FALSE)*(M22+O22)/2)&gt;3.75,3.75,VLOOKUP(Q22,MogulsDD!$A$1:$D$1000,4,FALSE)*(M22+O22)/2)+IF((VLOOKUP(R22,MogulsDD!$A$1:$D$1000,4,FALSE)*(N22+P22)/2)&gt;3.75,3.75,VLOOKUP(R22,MogulsDD!$A$1:$D$1000,4,FALSE)*(N22+P22)/2)+IF((18-12*S22/$K$5)&gt;7.5,7.5,IF((18-12*S22/$K$5)&lt;0,0,(18-12*S22/$K$5)))</f>
        <v>13.706307339449543</v>
      </c>
      <c r="U22" s="38"/>
      <c r="V22" s="38"/>
      <c r="W22" s="38"/>
      <c r="X22" s="38"/>
      <c r="Y22" s="39"/>
      <c r="Z22" s="38"/>
      <c r="AA22" s="38"/>
      <c r="AB22" s="38"/>
      <c r="AC22" s="38"/>
      <c r="AD22" s="39"/>
      <c r="AE22" s="38"/>
      <c r="AF22" s="38"/>
      <c r="AG22" s="38"/>
      <c r="AH22" s="38"/>
      <c r="AI22" s="39"/>
      <c r="AJ22" s="44"/>
      <c r="AK22" s="39"/>
      <c r="AL22" s="37"/>
      <c r="AM22" s="37"/>
    </row>
    <row r="23" spans="1:39">
      <c r="A23" s="19">
        <f t="shared" si="0"/>
        <v>11</v>
      </c>
      <c r="B23" s="22">
        <v>62</v>
      </c>
      <c r="C23" s="22">
        <v>10</v>
      </c>
      <c r="D23" s="22" t="s">
        <v>231</v>
      </c>
      <c r="E23" s="22"/>
      <c r="F23" s="22"/>
      <c r="G23" s="22" t="s">
        <v>240</v>
      </c>
      <c r="H23" s="22" t="s">
        <v>246</v>
      </c>
      <c r="I23" s="23"/>
      <c r="J23" s="27">
        <v>2.7</v>
      </c>
      <c r="K23" s="28">
        <v>2.7</v>
      </c>
      <c r="L23" s="28">
        <v>2.6</v>
      </c>
      <c r="M23" s="52">
        <v>0</v>
      </c>
      <c r="N23" s="52">
        <v>1.2</v>
      </c>
      <c r="O23" s="49">
        <v>0</v>
      </c>
      <c r="P23" s="49">
        <v>1.1000000000000001</v>
      </c>
      <c r="Q23" s="49" t="s">
        <v>271</v>
      </c>
      <c r="R23" s="49" t="s">
        <v>279</v>
      </c>
      <c r="S23" s="25">
        <v>24.66</v>
      </c>
      <c r="T23" s="26">
        <f>(J23+K23+L23)+IF((VLOOKUP(Q23,MogulsDD!$A$1:$D$1000,4,FALSE)*(M23+O23)/2)&gt;3.75,3.75,VLOOKUP(Q23,MogulsDD!$A$1:$D$1000,4,FALSE)*(M23+O23)/2)+IF((VLOOKUP(R23,MogulsDD!$A$1:$D$1000,4,FALSE)*(N23+P23)/2)&gt;3.75,3.75,VLOOKUP(R23,MogulsDD!$A$1:$D$1000,4,FALSE)*(N23+P23)/2)+IF((18-12*S23/$K$5)&gt;7.5,7.5,IF((18-12*S23/$K$5)&lt;0,0,(18-12*S23/$K$5)))</f>
        <v>12.585250603573153</v>
      </c>
      <c r="U23" s="38"/>
      <c r="V23" s="38"/>
      <c r="W23" s="38"/>
      <c r="X23" s="38"/>
      <c r="Y23" s="39"/>
      <c r="Z23" s="38"/>
      <c r="AA23" s="38"/>
      <c r="AB23" s="38"/>
      <c r="AC23" s="38"/>
      <c r="AD23" s="39"/>
      <c r="AE23" s="38"/>
      <c r="AF23" s="38"/>
      <c r="AG23" s="38"/>
      <c r="AH23" s="38"/>
      <c r="AI23" s="39"/>
      <c r="AJ23" s="44"/>
      <c r="AK23" s="39"/>
      <c r="AL23" s="37"/>
      <c r="AM23" s="37"/>
    </row>
    <row r="24" spans="1:39">
      <c r="A24" s="19">
        <f t="shared" si="0"/>
        <v>12</v>
      </c>
      <c r="B24" s="22">
        <v>23</v>
      </c>
      <c r="C24" s="22">
        <v>14</v>
      </c>
      <c r="D24" s="22" t="s">
        <v>232</v>
      </c>
      <c r="E24" s="22"/>
      <c r="F24" s="22"/>
      <c r="G24" s="22" t="s">
        <v>240</v>
      </c>
      <c r="H24" s="22" t="s">
        <v>247</v>
      </c>
      <c r="I24" s="23"/>
      <c r="J24" s="27">
        <v>2.4</v>
      </c>
      <c r="K24" s="28">
        <v>2.4</v>
      </c>
      <c r="L24" s="28">
        <v>2.2999999999999998</v>
      </c>
      <c r="M24" s="52">
        <v>0</v>
      </c>
      <c r="N24" s="52">
        <v>1.6</v>
      </c>
      <c r="O24" s="49">
        <v>0</v>
      </c>
      <c r="P24" s="49">
        <v>1.5</v>
      </c>
      <c r="Q24" s="49" t="s">
        <v>279</v>
      </c>
      <c r="R24" s="49" t="s">
        <v>274</v>
      </c>
      <c r="S24" s="25">
        <v>24.29</v>
      </c>
      <c r="T24" s="26">
        <f>(J24+K24+L24)+IF((VLOOKUP(Q24,MogulsDD!$A$1:$D$1000,4,FALSE)*(M24+O24)/2)&gt;3.75,3.75,VLOOKUP(Q24,MogulsDD!$A$1:$D$1000,4,FALSE)*(M24+O24)/2)+IF((VLOOKUP(R24,MogulsDD!$A$1:$D$1000,4,FALSE)*(N24+P24)/2)&gt;3.75,3.75,VLOOKUP(R24,MogulsDD!$A$1:$D$1000,4,FALSE)*(N24+P24)/2)+IF((18-12*S24/$K$5)&gt;7.5,7.5,IF((18-12*S24/$K$5)&lt;0,0,(18-12*S24/$K$5)))</f>
        <v>12.21913978754225</v>
      </c>
      <c r="U24" s="38"/>
      <c r="V24" s="38"/>
      <c r="W24" s="38"/>
      <c r="X24" s="38"/>
      <c r="Y24" s="39"/>
      <c r="Z24" s="38"/>
      <c r="AA24" s="38"/>
      <c r="AB24" s="38"/>
      <c r="AC24" s="38"/>
      <c r="AD24" s="39"/>
      <c r="AE24" s="38"/>
      <c r="AF24" s="38"/>
      <c r="AG24" s="38"/>
      <c r="AH24" s="38"/>
      <c r="AI24" s="39"/>
      <c r="AJ24" s="44"/>
      <c r="AK24" s="39"/>
      <c r="AL24" s="37"/>
      <c r="AM24" s="37"/>
    </row>
    <row r="25" spans="1:39">
      <c r="A25" s="19">
        <f t="shared" si="0"/>
        <v>13</v>
      </c>
      <c r="B25" s="22">
        <v>72</v>
      </c>
      <c r="C25" s="22">
        <v>6</v>
      </c>
      <c r="D25" s="22" t="s">
        <v>234</v>
      </c>
      <c r="E25" s="22"/>
      <c r="F25" s="22"/>
      <c r="G25" s="22" t="s">
        <v>240</v>
      </c>
      <c r="H25" s="22" t="s">
        <v>249</v>
      </c>
      <c r="I25" s="23"/>
      <c r="J25" s="27">
        <v>2</v>
      </c>
      <c r="K25" s="28">
        <v>2.1</v>
      </c>
      <c r="L25" s="28">
        <v>1.9</v>
      </c>
      <c r="M25" s="52">
        <v>0</v>
      </c>
      <c r="N25" s="52">
        <v>0.8</v>
      </c>
      <c r="O25" s="49">
        <v>0</v>
      </c>
      <c r="P25" s="49">
        <v>0.6</v>
      </c>
      <c r="Q25" s="49" t="s">
        <v>279</v>
      </c>
      <c r="R25" s="49" t="s">
        <v>274</v>
      </c>
      <c r="S25" s="25">
        <v>27.09</v>
      </c>
      <c r="T25" s="26">
        <f>(J25+K25+L25)+IF((VLOOKUP(Q25,MogulsDD!$A$1:$D$1000,4,FALSE)*(M25+O25)/2)&gt;3.75,3.75,VLOOKUP(Q25,MogulsDD!$A$1:$D$1000,4,FALSE)*(M25+O25)/2)+IF((VLOOKUP(R25,MogulsDD!$A$1:$D$1000,4,FALSE)*(N25+P25)/2)&gt;3.75,3.75,VLOOKUP(R25,MogulsDD!$A$1:$D$1000,4,FALSE)*(N25+P25)/2)+IF((18-12*S25/$K$5)&gt;7.5,7.5,IF((18-12*S25/$K$5)&lt;0,0,(18-12*S25/$K$5)))</f>
        <v>8.8422351521004359</v>
      </c>
      <c r="U25" s="38"/>
      <c r="V25" s="38"/>
      <c r="W25" s="38"/>
      <c r="X25" s="38"/>
      <c r="Y25" s="39"/>
      <c r="Z25" s="38"/>
      <c r="AA25" s="38"/>
      <c r="AB25" s="38"/>
      <c r="AC25" s="38"/>
      <c r="AD25" s="39"/>
      <c r="AE25" s="38"/>
      <c r="AF25" s="38"/>
      <c r="AG25" s="38"/>
      <c r="AH25" s="38"/>
      <c r="AI25" s="39"/>
      <c r="AJ25" s="44"/>
      <c r="AK25" s="39"/>
      <c r="AL25" s="37"/>
      <c r="AM25" s="37"/>
    </row>
    <row r="26" spans="1:39">
      <c r="A26" s="19">
        <f t="shared" si="0"/>
        <v>14</v>
      </c>
      <c r="B26" s="22">
        <v>93</v>
      </c>
      <c r="C26" s="22">
        <v>8</v>
      </c>
      <c r="D26" s="22" t="s">
        <v>208</v>
      </c>
      <c r="E26" s="22">
        <v>2531506</v>
      </c>
      <c r="F26" s="22" t="s">
        <v>164</v>
      </c>
      <c r="G26" s="22" t="s">
        <v>209</v>
      </c>
      <c r="H26" s="22" t="s">
        <v>210</v>
      </c>
      <c r="I26" s="23" t="s">
        <v>211</v>
      </c>
      <c r="J26" s="27">
        <v>0.1</v>
      </c>
      <c r="K26" s="28">
        <v>0.1</v>
      </c>
      <c r="L26" s="28">
        <v>0.1</v>
      </c>
      <c r="M26" s="52">
        <v>0.2</v>
      </c>
      <c r="N26" s="52">
        <v>0</v>
      </c>
      <c r="O26" s="49">
        <v>0.2</v>
      </c>
      <c r="P26" s="49">
        <v>0</v>
      </c>
      <c r="Q26" s="49" t="s">
        <v>271</v>
      </c>
      <c r="R26" s="49" t="s">
        <v>279</v>
      </c>
      <c r="S26" s="25">
        <v>37.049999999999997</v>
      </c>
      <c r="T26" s="26">
        <f>(J26+K26+L26)+IF((VLOOKUP(Q26,MogulsDD!$A$1:$D$1000,4,FALSE)*(M26+O26)/2)&gt;3.75,3.75,VLOOKUP(Q26,MogulsDD!$A$1:$D$1000,4,FALSE)*(M26+O26)/2)+IF((VLOOKUP(R26,MogulsDD!$A$1:$D$1000,4,FALSE)*(N26+P26)/2)&gt;3.75,3.75,VLOOKUP(R26,MogulsDD!$A$1:$D$1000,4,FALSE)*(N26+P26)/2)+IF((18-12*S26/$K$5)&gt;7.5,7.5,IF((18-12*S26/$K$5)&lt;0,0,(18-12*S26/$K$5)))</f>
        <v>0.42000000000000004</v>
      </c>
      <c r="U26" s="38"/>
      <c r="V26" s="38"/>
      <c r="W26" s="38"/>
      <c r="X26" s="38"/>
      <c r="Y26" s="39"/>
      <c r="Z26" s="38"/>
      <c r="AA26" s="38"/>
      <c r="AB26" s="38"/>
      <c r="AC26" s="38"/>
      <c r="AD26" s="39"/>
      <c r="AE26" s="38"/>
      <c r="AF26" s="38"/>
      <c r="AG26" s="38"/>
      <c r="AH26" s="38"/>
      <c r="AI26" s="39"/>
      <c r="AJ26" s="44"/>
      <c r="AK26" s="39"/>
      <c r="AL26" s="37"/>
      <c r="AM26" s="37"/>
    </row>
    <row r="27" spans="1:39">
      <c r="A27" s="19">
        <f t="shared" si="0"/>
        <v>15</v>
      </c>
      <c r="B27" s="22"/>
      <c r="C27" s="22"/>
      <c r="D27" s="22"/>
      <c r="E27" s="22"/>
      <c r="F27" s="22"/>
      <c r="G27" s="22"/>
      <c r="H27" s="22"/>
      <c r="I27" s="23"/>
      <c r="J27" s="27"/>
      <c r="K27" s="28"/>
      <c r="L27" s="28"/>
      <c r="M27" s="52"/>
      <c r="N27" s="52"/>
      <c r="O27" s="49"/>
      <c r="P27" s="49"/>
      <c r="Q27" s="49" t="s">
        <v>63</v>
      </c>
      <c r="R27" s="49" t="s">
        <v>63</v>
      </c>
      <c r="S27" s="25">
        <v>9999</v>
      </c>
      <c r="T27" s="26">
        <f>(J27+K27+L27)+IF((VLOOKUP(Q27,MogulsDD!$A$1:$D$1000,4,FALSE)*(M27+O27)/2)&gt;3.75,3.75,VLOOKUP(Q27,MogulsDD!$A$1:$D$1000,4,FALSE)*(M27+O27)/2)+IF((VLOOKUP(R27,MogulsDD!$A$1:$D$1000,4,FALSE)*(N27+P27)/2)&gt;3.75,3.75,VLOOKUP(R27,MogulsDD!$A$1:$D$1000,4,FALSE)*(N27+P27)/2)+IF((18-12*S27/$K$5)&gt;7.5,7.5,IF((18-12*S27/$K$5)&lt;0,0,(18-12*S27/$K$5)))</f>
        <v>0</v>
      </c>
      <c r="U27" s="38"/>
      <c r="V27" s="38"/>
      <c r="W27" s="38"/>
      <c r="X27" s="38"/>
      <c r="Y27" s="39"/>
      <c r="Z27" s="38"/>
      <c r="AA27" s="38"/>
      <c r="AB27" s="38"/>
      <c r="AC27" s="38"/>
      <c r="AD27" s="39"/>
      <c r="AE27" s="38"/>
      <c r="AF27" s="38"/>
      <c r="AG27" s="38"/>
      <c r="AH27" s="38"/>
      <c r="AI27" s="39"/>
      <c r="AJ27" s="44"/>
      <c r="AK27" s="39"/>
      <c r="AL27" s="37"/>
      <c r="AM27" s="37"/>
    </row>
    <row r="28" spans="1:39" ht="13.8" thickBot="1">
      <c r="A28" s="7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47"/>
      <c r="U28" s="38"/>
      <c r="V28" s="38"/>
      <c r="W28" s="38"/>
      <c r="X28" s="38"/>
      <c r="Y28" s="39"/>
      <c r="Z28" s="38"/>
      <c r="AA28" s="38"/>
      <c r="AB28" s="38"/>
      <c r="AC28" s="38"/>
      <c r="AD28" s="38"/>
      <c r="AE28" s="38"/>
      <c r="AF28" s="38"/>
      <c r="AG28" s="38"/>
      <c r="AH28" s="38"/>
      <c r="AI28" s="39"/>
      <c r="AJ28" s="38"/>
      <c r="AK28" s="39"/>
      <c r="AL28" s="37"/>
      <c r="AM28" s="37"/>
    </row>
    <row r="29" spans="1:39" ht="13.8" thickBot="1">
      <c r="A29" s="12"/>
      <c r="B29" s="11"/>
      <c r="C29" s="9"/>
      <c r="D29" s="9"/>
      <c r="E29" s="31" t="s">
        <v>229</v>
      </c>
      <c r="F29" s="9"/>
      <c r="G29" s="9"/>
      <c r="H29" s="9"/>
      <c r="I29" s="10"/>
      <c r="J29" s="21"/>
      <c r="K29" s="9"/>
      <c r="L29" s="9"/>
      <c r="M29" s="9"/>
      <c r="N29" s="9"/>
      <c r="O29" s="9"/>
      <c r="P29" s="9"/>
      <c r="Q29" s="9"/>
      <c r="R29" s="9"/>
      <c r="S29" s="9"/>
      <c r="T29" s="48"/>
      <c r="U29" s="38"/>
      <c r="V29" s="38"/>
      <c r="W29" s="38"/>
      <c r="X29" s="38"/>
      <c r="Y29" s="38"/>
      <c r="Z29" s="38"/>
      <c r="AA29" s="38"/>
      <c r="AB29" s="38"/>
      <c r="AC29" s="38"/>
      <c r="AD29" s="40"/>
      <c r="AE29" s="38"/>
      <c r="AF29" s="38"/>
      <c r="AG29" s="38"/>
      <c r="AH29" s="38"/>
      <c r="AI29" s="40"/>
      <c r="AJ29" s="38"/>
      <c r="AK29" s="39"/>
      <c r="AL29" s="37"/>
      <c r="AM29" s="37"/>
    </row>
    <row r="30" spans="1:39" ht="13.8" thickBot="1">
      <c r="A30" s="2"/>
      <c r="B30" s="3" t="s">
        <v>1</v>
      </c>
      <c r="C30" s="3" t="s">
        <v>252</v>
      </c>
      <c r="D30" s="3" t="s">
        <v>111</v>
      </c>
      <c r="E30" s="3" t="s">
        <v>238</v>
      </c>
      <c r="F30" s="3" t="s">
        <v>101</v>
      </c>
      <c r="G30" s="3" t="s">
        <v>3</v>
      </c>
      <c r="H30" s="3" t="s">
        <v>4</v>
      </c>
      <c r="I30" s="4" t="s">
        <v>5</v>
      </c>
      <c r="J30" s="2" t="s">
        <v>11</v>
      </c>
      <c r="K30" s="3" t="s">
        <v>12</v>
      </c>
      <c r="L30" s="3" t="s">
        <v>15</v>
      </c>
      <c r="M30" s="3" t="s">
        <v>66</v>
      </c>
      <c r="N30" s="3" t="s">
        <v>65</v>
      </c>
      <c r="O30" s="3" t="s">
        <v>67</v>
      </c>
      <c r="P30" s="3" t="s">
        <v>68</v>
      </c>
      <c r="Q30" s="3" t="s">
        <v>59</v>
      </c>
      <c r="R30" s="3" t="s">
        <v>60</v>
      </c>
      <c r="S30" s="3"/>
      <c r="T30" s="46" t="s">
        <v>14</v>
      </c>
      <c r="U30" s="41"/>
      <c r="V30" s="41"/>
      <c r="W30" s="41"/>
      <c r="X30" s="41"/>
      <c r="Y30" s="42"/>
      <c r="Z30" s="41"/>
      <c r="AA30" s="41"/>
      <c r="AB30" s="41"/>
      <c r="AC30" s="41"/>
      <c r="AD30" s="42"/>
      <c r="AE30" s="41"/>
      <c r="AF30" s="41"/>
      <c r="AG30" s="41"/>
      <c r="AH30" s="41"/>
      <c r="AI30" s="42"/>
      <c r="AJ30" s="43"/>
      <c r="AK30" s="39"/>
      <c r="AL30" s="37"/>
      <c r="AM30" s="37"/>
    </row>
    <row r="31" spans="1:39">
      <c r="A31" s="19">
        <f t="shared" ref="A31:A54" si="1">RANK(T31,$T$31:$T$54,0)</f>
        <v>1</v>
      </c>
      <c r="B31" s="32">
        <v>115</v>
      </c>
      <c r="C31" s="22">
        <v>14</v>
      </c>
      <c r="D31" s="22" t="s">
        <v>118</v>
      </c>
      <c r="E31" s="22">
        <v>2528768</v>
      </c>
      <c r="F31" s="22" t="s">
        <v>119</v>
      </c>
      <c r="G31" s="22" t="s">
        <v>129</v>
      </c>
      <c r="H31" s="22" t="s">
        <v>120</v>
      </c>
      <c r="I31" s="23" t="s">
        <v>121</v>
      </c>
      <c r="J31" s="24">
        <v>4.7</v>
      </c>
      <c r="K31" s="25">
        <v>4.7</v>
      </c>
      <c r="L31" s="25">
        <v>4.5999999999999996</v>
      </c>
      <c r="M31" s="51">
        <v>2.4</v>
      </c>
      <c r="N31" s="51">
        <v>2.4</v>
      </c>
      <c r="O31" s="49">
        <v>2.2000000000000002</v>
      </c>
      <c r="P31" s="49">
        <v>2.2999999999999998</v>
      </c>
      <c r="Q31" s="49" t="s">
        <v>284</v>
      </c>
      <c r="R31" s="49" t="s">
        <v>286</v>
      </c>
      <c r="S31" s="25">
        <v>18.13</v>
      </c>
      <c r="T31" s="26">
        <f>(J31+K31+L31)+IF((VLOOKUP(Q31,MogulsDD!$A$1:$C$1000,3,FALSE)*(M31+O31)/2)&gt;3.75,3.75,VLOOKUP(Q31,MogulsDD!$A$1:$C$1000,3,FALSE)*(M31+O31)/2)+IF((VLOOKUP(R31,MogulsDD!$A$1:$C$1000,3,FALSE)*(N31+P31)/2)&gt;3.75,3.75,VLOOKUP(R31,MogulsDD!$A$1:$C$1000,3,FALSE)*(N31+P31)/2)+IF((18-12*S31/$J$5)&gt;7.5,7.5,IF((18-12*S31/$J$5)&lt;0,0,(18-12*S31/$J$5)))</f>
        <v>24.594029880478086</v>
      </c>
      <c r="U31" s="38"/>
      <c r="V31" s="38"/>
      <c r="W31" s="38"/>
      <c r="X31" s="38"/>
      <c r="Y31" s="39"/>
      <c r="Z31" s="38"/>
      <c r="AA31" s="38"/>
      <c r="AB31" s="38"/>
      <c r="AC31" s="38"/>
      <c r="AD31" s="39"/>
      <c r="AE31" s="38"/>
      <c r="AF31" s="38"/>
      <c r="AG31" s="38"/>
      <c r="AH31" s="38"/>
      <c r="AI31" s="39"/>
      <c r="AJ31" s="44"/>
      <c r="AK31" s="39"/>
      <c r="AL31" s="37"/>
      <c r="AM31" s="37"/>
    </row>
    <row r="32" spans="1:39">
      <c r="A32" s="19">
        <f t="shared" si="1"/>
        <v>2</v>
      </c>
      <c r="B32" s="32">
        <v>100</v>
      </c>
      <c r="C32" s="22">
        <v>20</v>
      </c>
      <c r="D32" s="22" t="s">
        <v>203</v>
      </c>
      <c r="E32" s="22"/>
      <c r="F32" s="22" t="s">
        <v>164</v>
      </c>
      <c r="G32" s="22" t="s">
        <v>209</v>
      </c>
      <c r="H32" s="22" t="s">
        <v>204</v>
      </c>
      <c r="I32" s="23" t="s">
        <v>115</v>
      </c>
      <c r="J32" s="27">
        <v>4.5</v>
      </c>
      <c r="K32" s="28">
        <v>4.4000000000000004</v>
      </c>
      <c r="L32" s="28">
        <v>4.4000000000000004</v>
      </c>
      <c r="M32" s="52">
        <v>2.4</v>
      </c>
      <c r="N32" s="52">
        <v>2.5</v>
      </c>
      <c r="O32" s="49">
        <v>2.4</v>
      </c>
      <c r="P32" s="49">
        <v>2.2999999999999998</v>
      </c>
      <c r="Q32" s="49" t="s">
        <v>276</v>
      </c>
      <c r="R32" s="49" t="s">
        <v>285</v>
      </c>
      <c r="S32" s="25">
        <v>18.46</v>
      </c>
      <c r="T32" s="26">
        <f>(J32+K32+L32)+IF((VLOOKUP(Q32,MogulsDD!$A$1:$C$1000,3,FALSE)*(M32+O32)/2)&gt;3.75,3.75,VLOOKUP(Q32,MogulsDD!$A$1:$C$1000,3,FALSE)*(M32+O32)/2)+IF((VLOOKUP(R32,MogulsDD!$A$1:$C$1000,3,FALSE)*(N32+P32)/2)&gt;3.75,3.75,VLOOKUP(R32,MogulsDD!$A$1:$C$1000,3,FALSE)*(N32+P32)/2)+IF((18-12*S32/$J$5)&gt;7.5,7.5,IF((18-12*S32/$J$5)&lt;0,0,(18-12*S32/$J$5)))</f>
        <v>24.020145702902674</v>
      </c>
      <c r="U32" s="38"/>
      <c r="V32" s="38"/>
      <c r="W32" s="38"/>
      <c r="X32" s="38"/>
      <c r="Y32" s="39"/>
      <c r="Z32" s="38"/>
      <c r="AA32" s="38"/>
      <c r="AB32" s="38"/>
      <c r="AC32" s="38"/>
      <c r="AD32" s="39"/>
      <c r="AE32" s="38"/>
      <c r="AF32" s="38"/>
      <c r="AG32" s="38"/>
      <c r="AH32" s="38"/>
      <c r="AI32" s="39"/>
      <c r="AJ32" s="44"/>
      <c r="AK32" s="39"/>
      <c r="AL32" s="37"/>
      <c r="AM32" s="37"/>
    </row>
    <row r="33" spans="1:39">
      <c r="A33" s="19">
        <f t="shared" si="1"/>
        <v>3</v>
      </c>
      <c r="B33" s="32">
        <v>56</v>
      </c>
      <c r="C33" s="22">
        <v>7</v>
      </c>
      <c r="D33" s="22" t="s">
        <v>172</v>
      </c>
      <c r="E33" s="22">
        <v>2531748</v>
      </c>
      <c r="F33" s="22" t="s">
        <v>173</v>
      </c>
      <c r="G33" s="22" t="s">
        <v>239</v>
      </c>
      <c r="H33" s="22" t="s">
        <v>174</v>
      </c>
      <c r="I33" s="23" t="s">
        <v>175</v>
      </c>
      <c r="J33" s="27">
        <v>4</v>
      </c>
      <c r="K33" s="28">
        <v>3.8</v>
      </c>
      <c r="L33" s="28">
        <v>4.0999999999999996</v>
      </c>
      <c r="M33" s="52">
        <v>2.2999999999999998</v>
      </c>
      <c r="N33" s="52">
        <v>1.9</v>
      </c>
      <c r="O33" s="49">
        <v>2.4</v>
      </c>
      <c r="P33" s="49">
        <v>2.1</v>
      </c>
      <c r="Q33" s="49" t="s">
        <v>270</v>
      </c>
      <c r="R33" s="49" t="s">
        <v>272</v>
      </c>
      <c r="S33" s="25">
        <v>17.84</v>
      </c>
      <c r="T33" s="26">
        <f>(J33+K33+L33)+IF((VLOOKUP(Q33,MogulsDD!$A$1:$C$1000,3,FALSE)*(M33+O33)/2)&gt;3.75,3.75,VLOOKUP(Q33,MogulsDD!$A$1:$C$1000,3,FALSE)*(M33+O33)/2)+IF((VLOOKUP(R33,MogulsDD!$A$1:$C$1000,3,FALSE)*(N33+P33)/2)&gt;3.75,3.75,VLOOKUP(R33,MogulsDD!$A$1:$C$1000,3,FALSE)*(N33+P33)/2)+IF((18-12*S33/$J$5)&gt;7.5,7.5,IF((18-12*S33/$J$5)&lt;0,0,(18-12*S33/$J$5)))</f>
        <v>22.383094763801935</v>
      </c>
      <c r="U33" s="38"/>
      <c r="V33" s="38"/>
      <c r="W33" s="38"/>
      <c r="X33" s="38"/>
      <c r="Y33" s="39"/>
      <c r="Z33" s="38"/>
      <c r="AA33" s="38"/>
      <c r="AB33" s="38"/>
      <c r="AC33" s="38"/>
      <c r="AD33" s="39"/>
      <c r="AE33" s="38"/>
      <c r="AF33" s="38"/>
      <c r="AG33" s="38"/>
      <c r="AH33" s="38"/>
      <c r="AI33" s="39"/>
      <c r="AJ33" s="44"/>
      <c r="AK33" s="39"/>
      <c r="AL33" s="37"/>
      <c r="AM33" s="37"/>
    </row>
    <row r="34" spans="1:39">
      <c r="A34" s="19">
        <f t="shared" si="1"/>
        <v>4</v>
      </c>
      <c r="B34" s="32">
        <v>81</v>
      </c>
      <c r="C34" s="22">
        <v>5</v>
      </c>
      <c r="D34" s="22" t="s">
        <v>205</v>
      </c>
      <c r="E34" s="22">
        <v>2530651</v>
      </c>
      <c r="F34" s="22" t="s">
        <v>206</v>
      </c>
      <c r="G34" s="22" t="s">
        <v>207</v>
      </c>
      <c r="H34" s="99" t="s">
        <v>243</v>
      </c>
      <c r="I34" s="23" t="s">
        <v>126</v>
      </c>
      <c r="J34" s="27">
        <v>4.2</v>
      </c>
      <c r="K34" s="28">
        <v>4.3</v>
      </c>
      <c r="L34" s="28">
        <v>4</v>
      </c>
      <c r="M34" s="52">
        <v>2.2999999999999998</v>
      </c>
      <c r="N34" s="52">
        <v>1.9</v>
      </c>
      <c r="O34" s="49">
        <v>2.2999999999999998</v>
      </c>
      <c r="P34" s="49">
        <v>2.1</v>
      </c>
      <c r="Q34" s="49" t="s">
        <v>284</v>
      </c>
      <c r="R34" s="49" t="s">
        <v>285</v>
      </c>
      <c r="S34" s="25">
        <v>19.600000000000001</v>
      </c>
      <c r="T34" s="26">
        <f>(J34+K34+L34)+IF((VLOOKUP(Q34,MogulsDD!$A$1:$C$1000,3,FALSE)*(M34+O34)/2)&gt;3.75,3.75,VLOOKUP(Q34,MogulsDD!$A$1:$C$1000,3,FALSE)*(M34+O34)/2)+IF((VLOOKUP(R34,MogulsDD!$A$1:$C$1000,3,FALSE)*(N34+P34)/2)&gt;3.75,3.75,VLOOKUP(R34,MogulsDD!$A$1:$C$1000,3,FALSE)*(N34+P34)/2)+IF((18-12*S34/$J$5)&gt;7.5,7.5,IF((18-12*S34/$J$5)&lt;0,0,(18-12*S34/$J$5)))</f>
        <v>21.868545816733068</v>
      </c>
      <c r="U34" s="38"/>
      <c r="V34" s="38"/>
      <c r="W34" s="38"/>
      <c r="X34" s="38"/>
      <c r="Y34" s="39"/>
      <c r="Z34" s="38"/>
      <c r="AA34" s="38"/>
      <c r="AB34" s="38"/>
      <c r="AC34" s="38"/>
      <c r="AD34" s="39"/>
      <c r="AE34" s="38"/>
      <c r="AF34" s="38"/>
      <c r="AG34" s="38"/>
      <c r="AH34" s="38"/>
      <c r="AI34" s="39"/>
      <c r="AJ34" s="44"/>
      <c r="AK34" s="39"/>
      <c r="AL34" s="37"/>
      <c r="AM34" s="37"/>
    </row>
    <row r="35" spans="1:39">
      <c r="A35" s="19">
        <f t="shared" si="1"/>
        <v>5</v>
      </c>
      <c r="B35" s="32">
        <v>49</v>
      </c>
      <c r="C35" s="22">
        <v>4</v>
      </c>
      <c r="D35" s="22" t="s">
        <v>170</v>
      </c>
      <c r="E35" s="22">
        <v>2529840</v>
      </c>
      <c r="F35" s="22" t="s">
        <v>164</v>
      </c>
      <c r="G35" s="22" t="s">
        <v>209</v>
      </c>
      <c r="H35" s="22" t="s">
        <v>171</v>
      </c>
      <c r="I35" s="23" t="s">
        <v>103</v>
      </c>
      <c r="J35" s="27">
        <v>4.0999999999999996</v>
      </c>
      <c r="K35" s="28">
        <v>4.0999999999999996</v>
      </c>
      <c r="L35" s="28">
        <v>4.2</v>
      </c>
      <c r="M35" s="52">
        <v>2</v>
      </c>
      <c r="N35" s="52">
        <v>2.1</v>
      </c>
      <c r="O35" s="49">
        <v>1.8</v>
      </c>
      <c r="P35" s="49">
        <v>2</v>
      </c>
      <c r="Q35" s="49" t="s">
        <v>270</v>
      </c>
      <c r="R35" s="49" t="s">
        <v>272</v>
      </c>
      <c r="S35" s="25">
        <v>18.809999999999999</v>
      </c>
      <c r="T35" s="26">
        <f>(J35+K35+L35)+IF((VLOOKUP(Q35,MogulsDD!$A$1:$C$1000,3,FALSE)*(M35+O35)/2)&gt;3.75,3.75,VLOOKUP(Q35,MogulsDD!$A$1:$C$1000,3,FALSE)*(M35+O35)/2)+IF((VLOOKUP(R35,MogulsDD!$A$1:$C$1000,3,FALSE)*(N35+P35)/2)&gt;3.75,3.75,VLOOKUP(R35,MogulsDD!$A$1:$C$1000,3,FALSE)*(N35+P35)/2)+IF((18-12*S35/$J$5)&gt;7.5,7.5,IF((18-12*S35/$J$5)&lt;0,0,(18-12*S35/$J$5)))</f>
        <v>21.803101878201481</v>
      </c>
      <c r="U35" s="38"/>
      <c r="V35" s="38"/>
      <c r="W35" s="38"/>
      <c r="X35" s="38"/>
      <c r="Y35" s="39"/>
      <c r="Z35" s="38"/>
      <c r="AA35" s="38"/>
      <c r="AB35" s="38"/>
      <c r="AC35" s="38"/>
      <c r="AD35" s="39"/>
      <c r="AE35" s="38"/>
      <c r="AF35" s="38"/>
      <c r="AG35" s="38"/>
      <c r="AH35" s="38"/>
      <c r="AI35" s="39"/>
      <c r="AJ35" s="44"/>
      <c r="AK35" s="39"/>
      <c r="AL35" s="37"/>
      <c r="AM35" s="37"/>
    </row>
    <row r="36" spans="1:39">
      <c r="A36" s="19">
        <f t="shared" si="1"/>
        <v>6</v>
      </c>
      <c r="B36" s="32">
        <v>88</v>
      </c>
      <c r="C36" s="22">
        <v>9</v>
      </c>
      <c r="D36" s="22" t="s">
        <v>168</v>
      </c>
      <c r="E36" s="22"/>
      <c r="F36" s="22" t="s">
        <v>164</v>
      </c>
      <c r="G36" s="22" t="s">
        <v>209</v>
      </c>
      <c r="H36" s="22" t="s">
        <v>169</v>
      </c>
      <c r="I36" s="23" t="s">
        <v>103</v>
      </c>
      <c r="J36" s="27">
        <v>4.0999999999999996</v>
      </c>
      <c r="K36" s="28">
        <v>3.9</v>
      </c>
      <c r="L36" s="28">
        <v>4</v>
      </c>
      <c r="M36" s="52">
        <v>1.9</v>
      </c>
      <c r="N36" s="52">
        <v>1.8</v>
      </c>
      <c r="O36" s="49">
        <v>2</v>
      </c>
      <c r="P36" s="49">
        <v>1.7</v>
      </c>
      <c r="Q36" s="49" t="s">
        <v>284</v>
      </c>
      <c r="R36" s="49" t="s">
        <v>272</v>
      </c>
      <c r="S36" s="25">
        <v>17.93</v>
      </c>
      <c r="T36" s="26">
        <f>(J36+K36+L36)+IF((VLOOKUP(Q36,MogulsDD!$A$1:$C$1000,3,FALSE)*(M36+O36)/2)&gt;3.75,3.75,VLOOKUP(Q36,MogulsDD!$A$1:$C$1000,3,FALSE)*(M36+O36)/2)+IF((VLOOKUP(R36,MogulsDD!$A$1:$C$1000,3,FALSE)*(N36+P36)/2)&gt;3.75,3.75,VLOOKUP(R36,MogulsDD!$A$1:$C$1000,3,FALSE)*(N36+P36)/2)+IF((18-12*S36/$J$5)&gt;7.5,7.5,IF((18-12*S36/$J$5)&lt;0,0,(18-12*S36/$J$5)))</f>
        <v>21.726626351735916</v>
      </c>
      <c r="U36" s="38"/>
      <c r="V36" s="38"/>
      <c r="W36" s="38"/>
      <c r="X36" s="38"/>
      <c r="Y36" s="39"/>
      <c r="Z36" s="38"/>
      <c r="AA36" s="38"/>
      <c r="AB36" s="38"/>
      <c r="AC36" s="38"/>
      <c r="AD36" s="39"/>
      <c r="AE36" s="38"/>
      <c r="AF36" s="38"/>
      <c r="AG36" s="38"/>
      <c r="AH36" s="38"/>
      <c r="AI36" s="39"/>
      <c r="AJ36" s="44"/>
      <c r="AK36" s="39"/>
      <c r="AL36" s="37"/>
      <c r="AM36" s="37"/>
    </row>
    <row r="37" spans="1:39">
      <c r="A37" s="19">
        <f t="shared" si="1"/>
        <v>7</v>
      </c>
      <c r="B37" s="32">
        <v>95</v>
      </c>
      <c r="C37" s="22">
        <v>11</v>
      </c>
      <c r="D37" s="22" t="s">
        <v>134</v>
      </c>
      <c r="E37" s="22"/>
      <c r="F37" s="22" t="s">
        <v>135</v>
      </c>
      <c r="G37" s="22" t="s">
        <v>138</v>
      </c>
      <c r="H37" s="22" t="s">
        <v>136</v>
      </c>
      <c r="I37" s="23" t="s">
        <v>137</v>
      </c>
      <c r="J37" s="27">
        <v>4.5</v>
      </c>
      <c r="K37" s="28">
        <v>4.5</v>
      </c>
      <c r="L37" s="28">
        <v>4.4000000000000004</v>
      </c>
      <c r="M37" s="52">
        <v>2.1</v>
      </c>
      <c r="N37" s="52">
        <v>2.1</v>
      </c>
      <c r="O37" s="49">
        <v>2.2000000000000002</v>
      </c>
      <c r="P37" s="49">
        <v>2.2000000000000002</v>
      </c>
      <c r="Q37" s="49" t="s">
        <v>61</v>
      </c>
      <c r="R37" s="49" t="s">
        <v>284</v>
      </c>
      <c r="S37" s="25">
        <v>20.83</v>
      </c>
      <c r="T37" s="26">
        <f>(J37+K37+L37)+IF((VLOOKUP(Q37,MogulsDD!$A$1:$C$1000,3,FALSE)*(M37+O37)/2)&gt;3.75,3.75,VLOOKUP(Q37,MogulsDD!$A$1:$C$1000,3,FALSE)*(M37+O37)/2)+IF((VLOOKUP(R37,MogulsDD!$A$1:$C$1000,3,FALSE)*(N37+P37)/2)&gt;3.75,3.75,VLOOKUP(R37,MogulsDD!$A$1:$C$1000,3,FALSE)*(N37+P37)/2)+IF((18-12*S37/$J$5)&gt;7.5,7.5,IF((18-12*S37/$J$5)&lt;0,0,(18-12*S37/$J$5)))</f>
        <v>21.688477518497439</v>
      </c>
      <c r="U37" s="38"/>
      <c r="V37" s="38"/>
      <c r="W37" s="38"/>
      <c r="X37" s="38"/>
      <c r="Y37" s="39"/>
      <c r="Z37" s="38"/>
      <c r="AA37" s="38"/>
      <c r="AB37" s="38"/>
      <c r="AC37" s="38"/>
      <c r="AD37" s="39"/>
      <c r="AE37" s="38"/>
      <c r="AF37" s="38"/>
      <c r="AG37" s="38"/>
      <c r="AH37" s="38"/>
      <c r="AI37" s="39"/>
      <c r="AJ37" s="44"/>
      <c r="AK37" s="39"/>
      <c r="AL37" s="37"/>
      <c r="AM37" s="37"/>
    </row>
    <row r="38" spans="1:39">
      <c r="A38" s="19">
        <f t="shared" si="1"/>
        <v>8</v>
      </c>
      <c r="B38" s="32">
        <v>97</v>
      </c>
      <c r="C38" s="22">
        <v>22</v>
      </c>
      <c r="D38" s="22" t="s">
        <v>159</v>
      </c>
      <c r="E38" s="22"/>
      <c r="F38" s="22" t="s">
        <v>160</v>
      </c>
      <c r="G38" s="22" t="s">
        <v>122</v>
      </c>
      <c r="H38" s="22" t="s">
        <v>161</v>
      </c>
      <c r="I38" s="23" t="s">
        <v>162</v>
      </c>
      <c r="J38" s="27">
        <v>4</v>
      </c>
      <c r="K38" s="28">
        <v>4</v>
      </c>
      <c r="L38" s="28">
        <v>4.0999999999999996</v>
      </c>
      <c r="M38" s="52">
        <v>2.2000000000000002</v>
      </c>
      <c r="N38" s="52">
        <v>1.4</v>
      </c>
      <c r="O38" s="49">
        <v>2.1</v>
      </c>
      <c r="P38" s="49">
        <v>1.5</v>
      </c>
      <c r="Q38" s="49" t="s">
        <v>284</v>
      </c>
      <c r="R38" s="49" t="s">
        <v>285</v>
      </c>
      <c r="S38" s="25">
        <v>18.12</v>
      </c>
      <c r="T38" s="26">
        <f>(J38+K38+L38)+IF((VLOOKUP(Q38,MogulsDD!$A$1:$C$1000,3,FALSE)*(M38+O38)/2)&gt;3.75,3.75,VLOOKUP(Q38,MogulsDD!$A$1:$C$1000,3,FALSE)*(M38+O38)/2)+IF((VLOOKUP(R38,MogulsDD!$A$1:$C$1000,3,FALSE)*(N38+P38)/2)&gt;3.75,3.75,VLOOKUP(R38,MogulsDD!$A$1:$C$1000,3,FALSE)*(N38+P38)/2)+IF((18-12*S38/$J$5)&gt;7.5,7.5,IF((18-12*S38/$J$5)&lt;0,0,(18-12*S38/$J$5)))</f>
        <v>21.678359704040979</v>
      </c>
      <c r="U38" s="38"/>
      <c r="V38" s="38"/>
      <c r="W38" s="38"/>
      <c r="X38" s="38"/>
      <c r="Y38" s="39"/>
      <c r="Z38" s="38"/>
      <c r="AA38" s="38"/>
      <c r="AB38" s="38"/>
      <c r="AC38" s="38"/>
      <c r="AD38" s="39"/>
      <c r="AE38" s="38"/>
      <c r="AF38" s="38"/>
      <c r="AG38" s="38"/>
      <c r="AH38" s="38"/>
      <c r="AI38" s="39"/>
      <c r="AJ38" s="44"/>
      <c r="AK38" s="39"/>
      <c r="AL38" s="37"/>
      <c r="AM38" s="37"/>
    </row>
    <row r="39" spans="1:39">
      <c r="A39" s="19">
        <f t="shared" si="1"/>
        <v>9</v>
      </c>
      <c r="B39" s="32">
        <v>44</v>
      </c>
      <c r="C39" s="22">
        <v>3</v>
      </c>
      <c r="D39" s="22" t="s">
        <v>110</v>
      </c>
      <c r="E39" s="22">
        <v>2531950</v>
      </c>
      <c r="F39" s="22" t="s">
        <v>106</v>
      </c>
      <c r="G39" s="22" t="s">
        <v>122</v>
      </c>
      <c r="H39" s="22" t="s">
        <v>102</v>
      </c>
      <c r="I39" s="23" t="s">
        <v>103</v>
      </c>
      <c r="J39" s="27">
        <v>3.4</v>
      </c>
      <c r="K39" s="28">
        <v>3.6</v>
      </c>
      <c r="L39" s="28">
        <v>3.8</v>
      </c>
      <c r="M39" s="52">
        <v>1</v>
      </c>
      <c r="N39" s="52">
        <v>1.8</v>
      </c>
      <c r="O39" s="49">
        <v>1.2</v>
      </c>
      <c r="P39" s="49">
        <v>1.6</v>
      </c>
      <c r="Q39" s="49" t="s">
        <v>61</v>
      </c>
      <c r="R39" s="49" t="s">
        <v>272</v>
      </c>
      <c r="S39" s="25">
        <v>20.11</v>
      </c>
      <c r="T39" s="26">
        <f>(J39+K39+L39)+IF((VLOOKUP(Q39,MogulsDD!$A$1:$C$1000,3,FALSE)*(M39+O39)/2)&gt;3.75,3.75,VLOOKUP(Q39,MogulsDD!$A$1:$C$1000,3,FALSE)*(M39+O39)/2)+IF((VLOOKUP(R39,MogulsDD!$A$1:$C$1000,3,FALSE)*(N39+P39)/2)&gt;3.75,3.75,VLOOKUP(R39,MogulsDD!$A$1:$C$1000,3,FALSE)*(N39+P39)/2)+IF((18-12*S39/$J$5)&gt;7.5,7.5,IF((18-12*S39/$J$5)&lt;0,0,(18-12*S39/$J$5)))</f>
        <v>18.090224815025614</v>
      </c>
      <c r="U39" s="38"/>
      <c r="V39" s="38"/>
      <c r="W39" s="38"/>
      <c r="X39" s="38"/>
      <c r="Y39" s="39"/>
      <c r="Z39" s="38"/>
      <c r="AA39" s="38"/>
      <c r="AB39" s="38"/>
      <c r="AC39" s="38"/>
      <c r="AD39" s="39"/>
      <c r="AE39" s="38"/>
      <c r="AF39" s="38"/>
      <c r="AG39" s="38"/>
      <c r="AH39" s="38"/>
      <c r="AI39" s="39"/>
      <c r="AJ39" s="44"/>
      <c r="AK39" s="39"/>
      <c r="AL39" s="37"/>
      <c r="AM39" s="37"/>
    </row>
    <row r="40" spans="1:39">
      <c r="A40" s="19">
        <f t="shared" si="1"/>
        <v>10</v>
      </c>
      <c r="B40" s="32">
        <v>18</v>
      </c>
      <c r="C40" s="22">
        <v>13</v>
      </c>
      <c r="D40" s="22" t="s">
        <v>123</v>
      </c>
      <c r="E40" s="22">
        <v>2531086</v>
      </c>
      <c r="F40" s="22" t="s">
        <v>124</v>
      </c>
      <c r="G40" s="22" t="s">
        <v>122</v>
      </c>
      <c r="H40" s="22" t="s">
        <v>125</v>
      </c>
      <c r="I40" s="23" t="s">
        <v>126</v>
      </c>
      <c r="J40" s="108">
        <v>3.3</v>
      </c>
      <c r="K40" s="109">
        <v>3.1</v>
      </c>
      <c r="L40" s="109">
        <v>3.6</v>
      </c>
      <c r="M40" s="110">
        <v>1.2</v>
      </c>
      <c r="N40" s="110">
        <v>1.4</v>
      </c>
      <c r="O40" s="56">
        <v>1.4</v>
      </c>
      <c r="P40" s="56">
        <v>1.5</v>
      </c>
      <c r="Q40" s="49" t="s">
        <v>276</v>
      </c>
      <c r="R40" s="49" t="s">
        <v>286</v>
      </c>
      <c r="S40" s="25">
        <v>20.28</v>
      </c>
      <c r="T40" s="26">
        <f>(J40+K40+L40)+IF((VLOOKUP(Q40,MogulsDD!$A$1:$C$1000,3,FALSE)*(M40+O40)/2)&gt;3.75,3.75,VLOOKUP(Q40,MogulsDD!$A$1:$C$1000,3,FALSE)*(M40+O40)/2)+IF((VLOOKUP(R40,MogulsDD!$A$1:$C$1000,3,FALSE)*(N40+P40)/2)&gt;3.75,3.75,VLOOKUP(R40,MogulsDD!$A$1:$C$1000,3,FALSE)*(N40+P40)/2)+IF((18-12*S40/$J$5)&gt;7.5,7.5,IF((18-12*S40/$J$5)&lt;0,0,(18-12*S40/$J$5)))</f>
        <v>17.094617814456463</v>
      </c>
      <c r="U40" s="38"/>
      <c r="V40" s="38"/>
      <c r="W40" s="38"/>
      <c r="X40" s="38"/>
      <c r="Y40" s="39"/>
      <c r="Z40" s="38"/>
      <c r="AA40" s="38"/>
      <c r="AB40" s="38"/>
      <c r="AC40" s="38"/>
      <c r="AD40" s="39"/>
      <c r="AE40" s="38"/>
      <c r="AF40" s="38"/>
      <c r="AG40" s="38"/>
      <c r="AH40" s="38"/>
      <c r="AI40" s="39"/>
      <c r="AJ40" s="44"/>
      <c r="AK40" s="39"/>
      <c r="AL40" s="37"/>
      <c r="AM40" s="37"/>
    </row>
    <row r="41" spans="1:39">
      <c r="A41" s="19">
        <f t="shared" si="1"/>
        <v>11</v>
      </c>
      <c r="B41" s="32">
        <v>3</v>
      </c>
      <c r="C41" s="22">
        <v>6</v>
      </c>
      <c r="D41" s="22" t="s">
        <v>156</v>
      </c>
      <c r="E41" s="22">
        <v>2532116</v>
      </c>
      <c r="F41" s="22" t="s">
        <v>157</v>
      </c>
      <c r="G41" s="22" t="s">
        <v>122</v>
      </c>
      <c r="H41" s="22" t="s">
        <v>158</v>
      </c>
      <c r="I41" s="23" t="s">
        <v>128</v>
      </c>
      <c r="J41" s="27">
        <v>3.5</v>
      </c>
      <c r="K41" s="28">
        <v>3.5</v>
      </c>
      <c r="L41" s="28">
        <v>3.3</v>
      </c>
      <c r="M41" s="52">
        <v>1.6</v>
      </c>
      <c r="N41" s="52">
        <v>0.4</v>
      </c>
      <c r="O41" s="49">
        <v>1.4</v>
      </c>
      <c r="P41" s="49">
        <v>0.6</v>
      </c>
      <c r="Q41" s="49" t="s">
        <v>282</v>
      </c>
      <c r="R41" s="49" t="s">
        <v>273</v>
      </c>
      <c r="S41" s="25">
        <v>20.45</v>
      </c>
      <c r="T41" s="26">
        <f>(J41+K41+L41)+IF((VLOOKUP(Q41,MogulsDD!$A$1:$C$1000,3,FALSE)*(M41+O41)/2)&gt;3.75,3.75,VLOOKUP(Q41,MogulsDD!$A$1:$C$1000,3,FALSE)*(M41+O41)/2)+IF((VLOOKUP(R41,MogulsDD!$A$1:$C$1000,3,FALSE)*(N41+P41)/2)&gt;3.75,3.75,VLOOKUP(R41,MogulsDD!$A$1:$C$1000,3,FALSE)*(N41+P41)/2)+IF((18-12*S41/$J$5)&gt;7.5,7.5,IF((18-12*S41/$J$5)&lt;0,0,(18-12*S41/$J$5)))</f>
        <v>15.638010813887309</v>
      </c>
      <c r="U41" s="38"/>
      <c r="V41" s="38"/>
      <c r="W41" s="38"/>
      <c r="X41" s="38"/>
      <c r="Y41" s="39"/>
      <c r="Z41" s="38"/>
      <c r="AA41" s="38"/>
      <c r="AB41" s="38"/>
      <c r="AC41" s="38"/>
      <c r="AD41" s="39"/>
      <c r="AE41" s="38"/>
      <c r="AF41" s="38"/>
      <c r="AG41" s="38"/>
      <c r="AH41" s="38"/>
      <c r="AI41" s="39"/>
      <c r="AJ41" s="44"/>
      <c r="AK41" s="39"/>
      <c r="AL41" s="37"/>
      <c r="AM41" s="37"/>
    </row>
    <row r="42" spans="1:39" ht="13.8" thickBot="1">
      <c r="A42" s="19">
        <f t="shared" si="1"/>
        <v>12</v>
      </c>
      <c r="B42" s="13">
        <v>104</v>
      </c>
      <c r="C42" s="22">
        <v>17</v>
      </c>
      <c r="D42" s="14" t="s">
        <v>112</v>
      </c>
      <c r="E42" s="22">
        <v>2530279</v>
      </c>
      <c r="F42" s="14" t="s">
        <v>113</v>
      </c>
      <c r="G42" s="14" t="s">
        <v>122</v>
      </c>
      <c r="H42" s="14" t="s">
        <v>114</v>
      </c>
      <c r="I42" s="18" t="s">
        <v>115</v>
      </c>
      <c r="J42" s="29">
        <v>2.8</v>
      </c>
      <c r="K42" s="30">
        <v>2.9</v>
      </c>
      <c r="L42" s="30">
        <v>3.1</v>
      </c>
      <c r="M42" s="53">
        <v>0.9</v>
      </c>
      <c r="N42" s="53">
        <v>0.8</v>
      </c>
      <c r="O42" s="50">
        <v>1.1000000000000001</v>
      </c>
      <c r="P42" s="50">
        <v>1.1000000000000001</v>
      </c>
      <c r="Q42" s="49" t="s">
        <v>61</v>
      </c>
      <c r="R42" s="49" t="s">
        <v>286</v>
      </c>
      <c r="S42" s="25">
        <v>20.98</v>
      </c>
      <c r="T42" s="26">
        <f>(J42+K42+L42)+IF((VLOOKUP(Q42,MogulsDD!$A$1:$C$1000,3,FALSE)*(M42+O42)/2)&gt;3.75,3.75,VLOOKUP(Q42,MogulsDD!$A$1:$C$1000,3,FALSE)*(M42+O42)/2)+IF((VLOOKUP(R42,MogulsDD!$A$1:$C$1000,3,FALSE)*(N42+P42)/2)&gt;3.75,3.75,VLOOKUP(R42,MogulsDD!$A$1:$C$1000,3,FALSE)*(N42+P42)/2)+IF((18-12*S42/$J$5)&gt;7.5,7.5,IF((18-12*S42/$J$5)&lt;0,0,(18-12*S42/$J$5)))</f>
        <v>14.55653016505407</v>
      </c>
      <c r="U42" s="38"/>
      <c r="V42" s="38"/>
      <c r="W42" s="38"/>
      <c r="X42" s="38"/>
      <c r="Y42" s="39"/>
      <c r="Z42" s="38"/>
      <c r="AA42" s="38"/>
      <c r="AB42" s="38"/>
      <c r="AC42" s="38"/>
      <c r="AD42" s="39"/>
      <c r="AE42" s="38"/>
      <c r="AF42" s="38"/>
      <c r="AG42" s="38"/>
      <c r="AH42" s="38"/>
      <c r="AI42" s="39"/>
      <c r="AJ42" s="44"/>
      <c r="AK42" s="39"/>
      <c r="AL42" s="37"/>
      <c r="AM42" s="37"/>
    </row>
    <row r="43" spans="1:39">
      <c r="A43" s="19">
        <f t="shared" si="1"/>
        <v>13</v>
      </c>
      <c r="B43" s="15">
        <v>15</v>
      </c>
      <c r="C43" s="22">
        <v>15</v>
      </c>
      <c r="D43" s="16" t="s">
        <v>237</v>
      </c>
      <c r="E43" s="22"/>
      <c r="F43" s="16"/>
      <c r="G43" s="16" t="s">
        <v>240</v>
      </c>
      <c r="H43" s="16" t="s">
        <v>244</v>
      </c>
      <c r="I43" s="17"/>
      <c r="J43" s="107">
        <v>2.7</v>
      </c>
      <c r="K43" s="25">
        <v>2.8</v>
      </c>
      <c r="L43" s="25">
        <v>2.2000000000000002</v>
      </c>
      <c r="M43" s="51">
        <v>0</v>
      </c>
      <c r="N43" s="51">
        <v>1.5</v>
      </c>
      <c r="O43" s="49">
        <v>0</v>
      </c>
      <c r="P43" s="49">
        <v>1.2</v>
      </c>
      <c r="Q43" s="49" t="s">
        <v>279</v>
      </c>
      <c r="R43" s="49" t="s">
        <v>274</v>
      </c>
      <c r="S43" s="25">
        <v>20.49</v>
      </c>
      <c r="T43" s="26">
        <f>(J43+K43+L43)+IF((VLOOKUP(Q43,MogulsDD!$A$1:$C$1000,3,FALSE)*(M43+O43)/2)&gt;3.75,3.75,VLOOKUP(Q43,MogulsDD!$A$1:$C$1000,3,FALSE)*(M43+O43)/2)+IF((VLOOKUP(R43,MogulsDD!$A$1:$C$1000,3,FALSE)*(N43+P43)/2)&gt;3.75,3.75,VLOOKUP(R43,MogulsDD!$A$1:$C$1000,3,FALSE)*(N43+P43)/2)+IF((18-12*S43/$J$5)&gt;7.5,7.5,IF((18-12*S43/$J$5)&lt;0,0,(18-12*S43/$J$5)))</f>
        <v>12.542691519635744</v>
      </c>
      <c r="U43" s="38"/>
      <c r="V43" s="38"/>
      <c r="W43" s="38"/>
      <c r="X43" s="38"/>
      <c r="Y43" s="39"/>
      <c r="Z43" s="38"/>
      <c r="AA43" s="38"/>
      <c r="AB43" s="38"/>
      <c r="AC43" s="38"/>
      <c r="AD43" s="39"/>
      <c r="AE43" s="38"/>
      <c r="AF43" s="38"/>
      <c r="AG43" s="38"/>
      <c r="AH43" s="38"/>
      <c r="AI43" s="39"/>
      <c r="AJ43" s="44"/>
      <c r="AK43" s="39"/>
      <c r="AL43" s="37"/>
      <c r="AM43" s="37"/>
    </row>
    <row r="44" spans="1:39">
      <c r="A44" s="19">
        <f t="shared" si="1"/>
        <v>14</v>
      </c>
      <c r="B44" s="32">
        <v>25</v>
      </c>
      <c r="C44" s="22">
        <v>16</v>
      </c>
      <c r="D44" s="22" t="s">
        <v>130</v>
      </c>
      <c r="E44" s="22"/>
      <c r="F44" s="22" t="s">
        <v>131</v>
      </c>
      <c r="G44" s="22" t="s">
        <v>122</v>
      </c>
      <c r="H44" s="22" t="s">
        <v>132</v>
      </c>
      <c r="I44" s="23" t="s">
        <v>133</v>
      </c>
      <c r="J44" s="35">
        <v>2.5</v>
      </c>
      <c r="K44" s="28">
        <v>2.4</v>
      </c>
      <c r="L44" s="28">
        <v>2.6</v>
      </c>
      <c r="M44" s="52">
        <v>1.2</v>
      </c>
      <c r="N44" s="52">
        <v>1.2</v>
      </c>
      <c r="O44" s="49">
        <v>1.5</v>
      </c>
      <c r="P44" s="49">
        <v>1.2</v>
      </c>
      <c r="Q44" s="49" t="s">
        <v>276</v>
      </c>
      <c r="R44" s="49" t="s">
        <v>61</v>
      </c>
      <c r="S44" s="25">
        <v>23.48</v>
      </c>
      <c r="T44" s="26">
        <f>(J44+K44+L44)+IF((VLOOKUP(Q44,MogulsDD!$A$1:$C$1000,3,FALSE)*(M44+O44)/2)&gt;3.75,3.75,VLOOKUP(Q44,MogulsDD!$A$1:$C$1000,3,FALSE)*(M44+O44)/2)+IF((VLOOKUP(R44,MogulsDD!$A$1:$C$1000,3,FALSE)*(N44+P44)/2)&gt;3.75,3.75,VLOOKUP(R44,MogulsDD!$A$1:$C$1000,3,FALSE)*(N44+P44)/2)+IF((18-12*S44/$J$5)&gt;7.5,7.5,IF((18-12*S44/$J$5)&lt;0,0,(18-12*S44/$J$5)))</f>
        <v>12.141074274331247</v>
      </c>
      <c r="U44" s="38"/>
      <c r="V44" s="38"/>
      <c r="W44" s="38"/>
      <c r="X44" s="38"/>
      <c r="Y44" s="39"/>
      <c r="Z44" s="38"/>
      <c r="AA44" s="38"/>
      <c r="AB44" s="38"/>
      <c r="AC44" s="38"/>
      <c r="AD44" s="39"/>
      <c r="AE44" s="38"/>
      <c r="AF44" s="38"/>
      <c r="AG44" s="38"/>
      <c r="AH44" s="38"/>
      <c r="AI44" s="39"/>
      <c r="AJ44" s="44"/>
      <c r="AK44" s="39"/>
      <c r="AL44" s="37"/>
      <c r="AM44" s="37"/>
    </row>
    <row r="45" spans="1:39">
      <c r="A45" s="19">
        <f t="shared" si="1"/>
        <v>15</v>
      </c>
      <c r="B45" s="32">
        <v>2</v>
      </c>
      <c r="C45" s="22">
        <v>8</v>
      </c>
      <c r="D45" s="22" t="s">
        <v>191</v>
      </c>
      <c r="E45" s="22"/>
      <c r="F45" s="22" t="s">
        <v>192</v>
      </c>
      <c r="G45" s="22" t="s">
        <v>122</v>
      </c>
      <c r="H45" s="22" t="s">
        <v>193</v>
      </c>
      <c r="I45" s="23" t="s">
        <v>137</v>
      </c>
      <c r="J45" s="35">
        <v>2.6</v>
      </c>
      <c r="K45" s="28">
        <v>2.4</v>
      </c>
      <c r="L45" s="28">
        <v>2.5</v>
      </c>
      <c r="M45" s="52">
        <v>0.7</v>
      </c>
      <c r="N45" s="52">
        <v>0.9</v>
      </c>
      <c r="O45" s="49">
        <v>0.6</v>
      </c>
      <c r="P45" s="49">
        <v>1.1000000000000001</v>
      </c>
      <c r="Q45" s="49" t="s">
        <v>273</v>
      </c>
      <c r="R45" s="49" t="s">
        <v>271</v>
      </c>
      <c r="S45" s="25">
        <v>24.33</v>
      </c>
      <c r="T45" s="26">
        <f>(J45+K45+L45)+IF((VLOOKUP(Q45,MogulsDD!$A$1:$C$1000,3,FALSE)*(M45+O45)/2)&gt;3.75,3.75,VLOOKUP(Q45,MogulsDD!$A$1:$C$1000,3,FALSE)*(M45+O45)/2)+IF((VLOOKUP(R45,MogulsDD!$A$1:$C$1000,3,FALSE)*(N45+P45)/2)&gt;3.75,3.75,VLOOKUP(R45,MogulsDD!$A$1:$C$1000,3,FALSE)*(N45+P45)/2)+IF((18-12*S45/$J$5)&gt;7.5,7.5,IF((18-12*S45/$J$5)&lt;0,0,(18-12*S45/$J$5)))</f>
        <v>9.8705392714854874</v>
      </c>
      <c r="U45" s="38"/>
      <c r="V45" s="38"/>
      <c r="W45" s="38"/>
      <c r="X45" s="38"/>
      <c r="Y45" s="39"/>
      <c r="Z45" s="38"/>
      <c r="AA45" s="38"/>
      <c r="AB45" s="38"/>
      <c r="AC45" s="38"/>
      <c r="AD45" s="39"/>
      <c r="AE45" s="38"/>
      <c r="AF45" s="38"/>
      <c r="AG45" s="38"/>
      <c r="AH45" s="38"/>
      <c r="AI45" s="39"/>
      <c r="AJ45" s="44"/>
      <c r="AK45" s="39"/>
      <c r="AL45" s="37"/>
      <c r="AM45" s="37"/>
    </row>
    <row r="46" spans="1:39">
      <c r="A46" s="19">
        <f t="shared" si="1"/>
        <v>16</v>
      </c>
      <c r="B46" s="32">
        <v>29</v>
      </c>
      <c r="C46" s="22">
        <v>2</v>
      </c>
      <c r="D46" s="22" t="s">
        <v>116</v>
      </c>
      <c r="E46" s="22"/>
      <c r="F46" s="22"/>
      <c r="G46" s="22" t="s">
        <v>122</v>
      </c>
      <c r="H46" s="22" t="s">
        <v>117</v>
      </c>
      <c r="I46" s="23" t="s">
        <v>103</v>
      </c>
      <c r="J46" s="35">
        <v>2.2999999999999998</v>
      </c>
      <c r="K46" s="28">
        <v>2.1</v>
      </c>
      <c r="L46" s="28">
        <v>2.1</v>
      </c>
      <c r="M46" s="52">
        <v>0.2</v>
      </c>
      <c r="N46" s="52">
        <v>0</v>
      </c>
      <c r="O46" s="49">
        <v>0.3</v>
      </c>
      <c r="P46" s="49">
        <v>0</v>
      </c>
      <c r="Q46" s="49" t="s">
        <v>283</v>
      </c>
      <c r="R46" s="49" t="s">
        <v>271</v>
      </c>
      <c r="S46" s="25">
        <v>22</v>
      </c>
      <c r="T46" s="26">
        <f>(J46+K46+L46)+IF((VLOOKUP(Q46,MogulsDD!$A$1:$C$1000,3,FALSE)*(M46+O46)/2)&gt;3.75,3.75,VLOOKUP(Q46,MogulsDD!$A$1:$C$1000,3,FALSE)*(M46+O46)/2)+IF((VLOOKUP(R46,MogulsDD!$A$1:$C$1000,3,FALSE)*(N46+P46)/2)&gt;3.75,3.75,VLOOKUP(R46,MogulsDD!$A$1:$C$1000,3,FALSE)*(N46+P46)/2)+IF((18-12*S46/$J$5)&gt;7.5,7.5,IF((18-12*S46/$J$5)&lt;0,0,(18-12*S46/$J$5)))</f>
        <v>9.6268881616391582</v>
      </c>
      <c r="U46" s="38"/>
      <c r="V46" s="38"/>
      <c r="W46" s="38"/>
      <c r="X46" s="38"/>
      <c r="Y46" s="39"/>
      <c r="Z46" s="38"/>
      <c r="AA46" s="38"/>
      <c r="AB46" s="38"/>
      <c r="AC46" s="38"/>
      <c r="AD46" s="39"/>
      <c r="AE46" s="38"/>
      <c r="AF46" s="38"/>
      <c r="AG46" s="38"/>
      <c r="AH46" s="38"/>
      <c r="AI46" s="39"/>
      <c r="AJ46" s="44"/>
      <c r="AK46" s="39"/>
      <c r="AL46" s="37"/>
      <c r="AM46" s="37"/>
    </row>
    <row r="47" spans="1:39">
      <c r="A47" s="19">
        <f t="shared" si="1"/>
        <v>17</v>
      </c>
      <c r="B47" s="32">
        <v>20</v>
      </c>
      <c r="C47" s="22">
        <v>1</v>
      </c>
      <c r="D47" s="22" t="s">
        <v>107</v>
      </c>
      <c r="E47" s="22"/>
      <c r="F47" s="22" t="s">
        <v>108</v>
      </c>
      <c r="G47" s="22" t="s">
        <v>122</v>
      </c>
      <c r="H47" s="22" t="s">
        <v>109</v>
      </c>
      <c r="I47" s="23" t="s">
        <v>103</v>
      </c>
      <c r="J47" s="35">
        <v>2.7</v>
      </c>
      <c r="K47" s="28">
        <v>2.2999999999999998</v>
      </c>
      <c r="L47" s="28">
        <v>2.5</v>
      </c>
      <c r="M47" s="52">
        <v>0</v>
      </c>
      <c r="N47" s="52">
        <v>0.9</v>
      </c>
      <c r="O47" s="49">
        <v>0</v>
      </c>
      <c r="P47" s="49">
        <v>0.7</v>
      </c>
      <c r="Q47" s="49" t="s">
        <v>281</v>
      </c>
      <c r="R47" s="49" t="s">
        <v>282</v>
      </c>
      <c r="S47" s="25">
        <v>24.22</v>
      </c>
      <c r="T47" s="26">
        <f>(J47+K47+L47)+IF((VLOOKUP(Q47,MogulsDD!$A$1:$C$1000,3,FALSE)*(M47+O47)/2)&gt;3.75,3.75,VLOOKUP(Q47,MogulsDD!$A$1:$C$1000,3,FALSE)*(M47+O47)/2)+IF((VLOOKUP(R47,MogulsDD!$A$1:$C$1000,3,FALSE)*(N47+P47)/2)&gt;3.75,3.75,VLOOKUP(R47,MogulsDD!$A$1:$C$1000,3,FALSE)*(N47+P47)/2)+IF((18-12*S47/$J$5)&gt;7.5,7.5,IF((18-12*S47/$J$5)&lt;0,0,(18-12*S47/$J$5)))</f>
        <v>9.4541673306772918</v>
      </c>
      <c r="U47" s="38"/>
      <c r="V47" s="38"/>
      <c r="W47" s="38"/>
      <c r="X47" s="38"/>
      <c r="Y47" s="39"/>
      <c r="Z47" s="38"/>
      <c r="AA47" s="38"/>
      <c r="AB47" s="38"/>
      <c r="AC47" s="38"/>
      <c r="AD47" s="39"/>
      <c r="AE47" s="38"/>
      <c r="AF47" s="38"/>
      <c r="AG47" s="38"/>
      <c r="AH47" s="38"/>
      <c r="AI47" s="39"/>
      <c r="AJ47" s="44"/>
      <c r="AK47" s="39"/>
      <c r="AL47" s="37"/>
      <c r="AM47" s="37"/>
    </row>
    <row r="48" spans="1:39">
      <c r="A48" s="19">
        <f t="shared" si="1"/>
        <v>18</v>
      </c>
      <c r="B48" s="32">
        <v>14</v>
      </c>
      <c r="C48" s="22">
        <v>23</v>
      </c>
      <c r="D48" s="22" t="s">
        <v>269</v>
      </c>
      <c r="E48" s="22"/>
      <c r="F48" s="22"/>
      <c r="G48" s="22" t="s">
        <v>122</v>
      </c>
      <c r="H48" s="22" t="s">
        <v>268</v>
      </c>
      <c r="I48" s="23"/>
      <c r="J48" s="35">
        <v>2.6</v>
      </c>
      <c r="K48" s="28">
        <v>2.2999999999999998</v>
      </c>
      <c r="L48" s="28">
        <v>2.2000000000000002</v>
      </c>
      <c r="M48" s="52">
        <v>0</v>
      </c>
      <c r="N48" s="52">
        <v>0</v>
      </c>
      <c r="O48" s="49">
        <v>0</v>
      </c>
      <c r="P48" s="49">
        <v>0</v>
      </c>
      <c r="Q48" s="49" t="s">
        <v>63</v>
      </c>
      <c r="R48" s="49" t="s">
        <v>63</v>
      </c>
      <c r="S48" s="25">
        <v>23.43</v>
      </c>
      <c r="T48" s="26">
        <f>(J48+K48+L48)+IF((VLOOKUP(Q48,MogulsDD!$A$1:$C$1000,3,FALSE)*(M48+O48)/2)&gt;3.75,3.75,VLOOKUP(Q48,MogulsDD!$A$1:$C$1000,3,FALSE)*(M48+O48)/2)+IF((VLOOKUP(R48,MogulsDD!$A$1:$C$1000,3,FALSE)*(N48+P48)/2)&gt;3.75,3.75,VLOOKUP(R48,MogulsDD!$A$1:$C$1000,3,FALSE)*(N48+P48)/2)+IF((18-12*S48/$J$5)&gt;7.5,7.5,IF((18-12*S48/$J$5)&lt;0,0,(18-12*S48/$J$5)))</f>
        <v>9.0977233921457064</v>
      </c>
      <c r="U48" s="38"/>
      <c r="V48" s="38"/>
      <c r="W48" s="38"/>
      <c r="X48" s="38"/>
      <c r="Y48" s="39"/>
      <c r="Z48" s="38"/>
      <c r="AA48" s="38"/>
      <c r="AB48" s="38"/>
      <c r="AC48" s="38"/>
      <c r="AD48" s="39"/>
      <c r="AE48" s="38"/>
      <c r="AF48" s="38"/>
      <c r="AG48" s="38"/>
      <c r="AH48" s="38"/>
      <c r="AI48" s="39"/>
      <c r="AJ48" s="44"/>
      <c r="AK48" s="39"/>
      <c r="AL48" s="37"/>
      <c r="AM48" s="37"/>
    </row>
    <row r="49" spans="1:39">
      <c r="A49" s="19">
        <f t="shared" si="1"/>
        <v>19</v>
      </c>
      <c r="B49" s="32">
        <v>84</v>
      </c>
      <c r="C49" s="22">
        <v>19</v>
      </c>
      <c r="D49" s="22" t="s">
        <v>194</v>
      </c>
      <c r="E49" s="22"/>
      <c r="F49" s="22" t="s">
        <v>192</v>
      </c>
      <c r="G49" s="22" t="s">
        <v>122</v>
      </c>
      <c r="H49" s="22" t="s">
        <v>195</v>
      </c>
      <c r="I49" s="23" t="s">
        <v>196</v>
      </c>
      <c r="J49" s="35">
        <v>2</v>
      </c>
      <c r="K49" s="28">
        <v>1.7</v>
      </c>
      <c r="L49" s="28">
        <v>1.9</v>
      </c>
      <c r="M49" s="52">
        <v>1.4</v>
      </c>
      <c r="N49" s="52">
        <v>0</v>
      </c>
      <c r="O49" s="49">
        <v>1.2</v>
      </c>
      <c r="P49" s="49">
        <v>0</v>
      </c>
      <c r="Q49" s="49" t="s">
        <v>280</v>
      </c>
      <c r="R49" s="49" t="s">
        <v>279</v>
      </c>
      <c r="S49" s="25">
        <v>23.69</v>
      </c>
      <c r="T49" s="26">
        <f>(J49+K49+L49)+IF((VLOOKUP(Q49,MogulsDD!$A$1:$C$1000,3,FALSE)*(M49+O49)/2)&gt;3.75,3.75,VLOOKUP(Q49,MogulsDD!$A$1:$C$1000,3,FALSE)*(M49+O49)/2)+IF((VLOOKUP(R49,MogulsDD!$A$1:$C$1000,3,FALSE)*(N49+P49)/2)&gt;3.75,3.75,VLOOKUP(R49,MogulsDD!$A$1:$C$1000,3,FALSE)*(N49+P49)/2)+IF((18-12*S49/$J$5)&gt;7.5,7.5,IF((18-12*S49/$J$5)&lt;0,0,(18-12*S49/$J$5)))</f>
        <v>8.1611479795105257</v>
      </c>
      <c r="U49" s="38"/>
      <c r="V49" s="38"/>
      <c r="W49" s="38"/>
      <c r="X49" s="38"/>
      <c r="Y49" s="39"/>
      <c r="Z49" s="38"/>
      <c r="AA49" s="38"/>
      <c r="AB49" s="38"/>
      <c r="AC49" s="38"/>
      <c r="AD49" s="39"/>
      <c r="AE49" s="38"/>
      <c r="AF49" s="38"/>
      <c r="AG49" s="38"/>
      <c r="AH49" s="38"/>
      <c r="AI49" s="39"/>
      <c r="AJ49" s="44"/>
      <c r="AK49" s="39"/>
      <c r="AL49" s="37"/>
      <c r="AM49" s="37"/>
    </row>
    <row r="50" spans="1:39">
      <c r="A50" s="19">
        <f t="shared" si="1"/>
        <v>20</v>
      </c>
      <c r="B50" s="32">
        <v>43</v>
      </c>
      <c r="C50" s="22">
        <v>21</v>
      </c>
      <c r="D50" s="22" t="s">
        <v>163</v>
      </c>
      <c r="E50" s="22"/>
      <c r="F50" s="22" t="s">
        <v>164</v>
      </c>
      <c r="G50" s="22" t="s">
        <v>209</v>
      </c>
      <c r="H50" s="22" t="s">
        <v>165</v>
      </c>
      <c r="I50" s="23" t="s">
        <v>103</v>
      </c>
      <c r="J50" s="35">
        <v>1.7</v>
      </c>
      <c r="K50" s="28">
        <v>1.6</v>
      </c>
      <c r="L50" s="28">
        <v>2</v>
      </c>
      <c r="M50" s="52">
        <v>1.4</v>
      </c>
      <c r="N50" s="52">
        <v>0.1</v>
      </c>
      <c r="O50" s="49">
        <v>1.2</v>
      </c>
      <c r="P50" s="49">
        <v>0.1</v>
      </c>
      <c r="Q50" s="49" t="s">
        <v>279</v>
      </c>
      <c r="R50" s="49" t="s">
        <v>61</v>
      </c>
      <c r="S50" s="25">
        <v>25.52</v>
      </c>
      <c r="T50" s="26">
        <f>(J50+K50+L50)+IF((VLOOKUP(Q50,MogulsDD!$A$1:$C$1000,3,FALSE)*(M50+O50)/2)&gt;3.75,3.75,VLOOKUP(Q50,MogulsDD!$A$1:$C$1000,3,FALSE)*(M50+O50)/2)+IF((VLOOKUP(R50,MogulsDD!$A$1:$C$1000,3,FALSE)*(N50+P50)/2)&gt;3.75,3.75,VLOOKUP(R50,MogulsDD!$A$1:$C$1000,3,FALSE)*(N50+P50)/2)+IF((18-12*S50/$J$5)&gt;7.5,7.5,IF((18-12*S50/$J$5)&lt;0,0,(18-12*S50/$J$5)))</f>
        <v>6.768290267501424</v>
      </c>
      <c r="U50" s="38"/>
      <c r="V50" s="38"/>
      <c r="W50" s="38"/>
      <c r="X50" s="38"/>
      <c r="Y50" s="39"/>
      <c r="Z50" s="38"/>
      <c r="AA50" s="38"/>
      <c r="AB50" s="38"/>
      <c r="AC50" s="38"/>
      <c r="AD50" s="39"/>
      <c r="AE50" s="38"/>
      <c r="AF50" s="38"/>
      <c r="AG50" s="38"/>
      <c r="AH50" s="38"/>
      <c r="AI50" s="39"/>
      <c r="AJ50" s="44"/>
      <c r="AK50" s="39"/>
      <c r="AL50" s="37"/>
      <c r="AM50" s="37"/>
    </row>
    <row r="51" spans="1:39">
      <c r="A51" s="19">
        <f t="shared" si="1"/>
        <v>21</v>
      </c>
      <c r="B51" s="32">
        <v>17</v>
      </c>
      <c r="C51" s="22">
        <v>10</v>
      </c>
      <c r="D51" s="22" t="s">
        <v>166</v>
      </c>
      <c r="E51" s="22"/>
      <c r="F51" s="22" t="s">
        <v>164</v>
      </c>
      <c r="G51" s="22" t="s">
        <v>209</v>
      </c>
      <c r="H51" s="22" t="s">
        <v>167</v>
      </c>
      <c r="I51" s="23" t="s">
        <v>133</v>
      </c>
      <c r="J51" s="35">
        <v>1</v>
      </c>
      <c r="K51" s="28">
        <v>0.9</v>
      </c>
      <c r="L51" s="28">
        <v>0.8</v>
      </c>
      <c r="M51" s="52">
        <v>1</v>
      </c>
      <c r="N51" s="52">
        <v>0.1</v>
      </c>
      <c r="O51" s="49">
        <v>1</v>
      </c>
      <c r="P51" s="49">
        <v>0.2</v>
      </c>
      <c r="Q51" s="49" t="s">
        <v>279</v>
      </c>
      <c r="R51" s="49" t="s">
        <v>272</v>
      </c>
      <c r="S51" s="25">
        <v>26.45</v>
      </c>
      <c r="T51" s="26">
        <f>(J51+K51+L51)+IF((VLOOKUP(Q51,MogulsDD!$A$1:$C$1000,3,FALSE)*(M51+O51)/2)&gt;3.75,3.75,VLOOKUP(Q51,MogulsDD!$A$1:$C$1000,3,FALSE)*(M51+O51)/2)+IF((VLOOKUP(R51,MogulsDD!$A$1:$C$1000,3,FALSE)*(N51+P51)/2)&gt;3.75,3.75,VLOOKUP(R51,MogulsDD!$A$1:$C$1000,3,FALSE)*(N51+P51)/2)+IF((18-12*S51/$J$5)&gt;7.5,7.5,IF((18-12*S51/$J$5)&lt;0,0,(18-12*S51/$J$5)))</f>
        <v>3.4750000000000001</v>
      </c>
      <c r="U51" s="38"/>
      <c r="V51" s="38"/>
      <c r="W51" s="38"/>
      <c r="X51" s="38"/>
      <c r="Y51" s="39"/>
      <c r="Z51" s="38"/>
      <c r="AA51" s="38"/>
      <c r="AB51" s="38"/>
      <c r="AC51" s="38"/>
      <c r="AD51" s="39"/>
      <c r="AE51" s="38"/>
      <c r="AF51" s="38"/>
      <c r="AG51" s="38"/>
      <c r="AH51" s="38"/>
      <c r="AI51" s="39"/>
      <c r="AJ51" s="44"/>
      <c r="AK51" s="39"/>
      <c r="AL51" s="37"/>
      <c r="AM51" s="37"/>
    </row>
    <row r="52" spans="1:39">
      <c r="A52" s="19">
        <f t="shared" si="1"/>
        <v>22</v>
      </c>
      <c r="B52" s="32">
        <v>109</v>
      </c>
      <c r="C52" s="22">
        <v>18</v>
      </c>
      <c r="D52" s="22" t="s">
        <v>199</v>
      </c>
      <c r="E52" s="22"/>
      <c r="F52" s="22" t="s">
        <v>200</v>
      </c>
      <c r="G52" s="22" t="s">
        <v>122</v>
      </c>
      <c r="H52" s="22" t="s">
        <v>201</v>
      </c>
      <c r="I52" s="23" t="s">
        <v>202</v>
      </c>
      <c r="J52" s="35">
        <v>0.1</v>
      </c>
      <c r="K52" s="28">
        <v>0.1</v>
      </c>
      <c r="L52" s="28">
        <v>0.1</v>
      </c>
      <c r="M52" s="52">
        <v>0.1</v>
      </c>
      <c r="N52" s="52">
        <v>1.2</v>
      </c>
      <c r="O52" s="49">
        <v>0.1</v>
      </c>
      <c r="P52" s="49">
        <v>1</v>
      </c>
      <c r="Q52" s="49" t="s">
        <v>270</v>
      </c>
      <c r="R52" s="49" t="s">
        <v>27</v>
      </c>
      <c r="S52" s="25">
        <v>27.38</v>
      </c>
      <c r="T52" s="26">
        <f>(J52+K52+L52)+IF((VLOOKUP(Q52,MogulsDD!$A$1:$C$1000,3,FALSE)*(M52+O52)/2)&gt;3.75,3.75,VLOOKUP(Q52,MogulsDD!$A$1:$C$1000,3,FALSE)*(M52+O52)/2)+IF((VLOOKUP(R52,MogulsDD!$A$1:$C$1000,3,FALSE)*(N52+P52)/2)&gt;3.75,3.75,VLOOKUP(R52,MogulsDD!$A$1:$C$1000,3,FALSE)*(N52+P52)/2)+IF((18-12*S52/$J$5)&gt;7.5,7.5,IF((18-12*S52/$J$5)&lt;0,0,(18-12*S52/$J$5)))</f>
        <v>1.5600000000000003</v>
      </c>
      <c r="U52" s="38"/>
      <c r="V52" s="38"/>
      <c r="W52" s="38"/>
      <c r="X52" s="38"/>
      <c r="Y52" s="39"/>
      <c r="Z52" s="38"/>
      <c r="AA52" s="38"/>
      <c r="AB52" s="38"/>
      <c r="AC52" s="38"/>
      <c r="AD52" s="39"/>
      <c r="AE52" s="38"/>
      <c r="AF52" s="38"/>
      <c r="AG52" s="38"/>
      <c r="AH52" s="38"/>
      <c r="AI52" s="39"/>
      <c r="AJ52" s="44"/>
      <c r="AK52" s="39"/>
      <c r="AL52" s="37"/>
      <c r="AM52" s="37"/>
    </row>
    <row r="53" spans="1:39">
      <c r="A53" s="19">
        <f t="shared" si="1"/>
        <v>23</v>
      </c>
      <c r="B53" s="32">
        <v>36</v>
      </c>
      <c r="C53" s="22">
        <v>12</v>
      </c>
      <c r="D53" s="22" t="s">
        <v>188</v>
      </c>
      <c r="E53" s="22"/>
      <c r="F53" s="22" t="s">
        <v>189</v>
      </c>
      <c r="G53" s="22" t="s">
        <v>122</v>
      </c>
      <c r="H53" s="22" t="s">
        <v>190</v>
      </c>
      <c r="I53" s="23" t="s">
        <v>121</v>
      </c>
      <c r="J53" s="35">
        <v>0</v>
      </c>
      <c r="K53" s="28">
        <v>0</v>
      </c>
      <c r="L53" s="28">
        <v>0</v>
      </c>
      <c r="M53" s="52">
        <v>0</v>
      </c>
      <c r="N53" s="52">
        <v>0</v>
      </c>
      <c r="O53" s="49">
        <v>0</v>
      </c>
      <c r="P53" s="49">
        <v>0</v>
      </c>
      <c r="Q53" s="49" t="s">
        <v>63</v>
      </c>
      <c r="R53" s="49" t="s">
        <v>63</v>
      </c>
      <c r="S53" s="25">
        <v>9999</v>
      </c>
      <c r="T53" s="26">
        <f>(J53+K53+L53)+IF((VLOOKUP(Q53,MogulsDD!$A$1:$C$1000,3,FALSE)*(M53+O53)/2)&gt;3.75,3.75,VLOOKUP(Q53,MogulsDD!$A$1:$C$1000,3,FALSE)*(M53+O53)/2)+IF((VLOOKUP(R53,MogulsDD!$A$1:$C$1000,3,FALSE)*(N53+P53)/2)&gt;3.75,3.75,VLOOKUP(R53,MogulsDD!$A$1:$C$1000,3,FALSE)*(N53+P53)/2)+IF((18-12*S53/$J$5)&gt;7.5,7.5,IF((18-12*S53/$J$5)&lt;0,0,(18-12*S53/$J$5)))</f>
        <v>0</v>
      </c>
      <c r="U53" s="38"/>
      <c r="V53" s="38"/>
      <c r="W53" s="38"/>
      <c r="X53" s="38"/>
      <c r="Y53" s="39"/>
      <c r="Z53" s="38"/>
      <c r="AA53" s="38"/>
      <c r="AB53" s="38"/>
      <c r="AC53" s="38"/>
      <c r="AD53" s="39"/>
      <c r="AE53" s="38"/>
      <c r="AF53" s="38"/>
      <c r="AG53" s="38"/>
      <c r="AH53" s="38"/>
      <c r="AI53" s="39"/>
      <c r="AJ53" s="44"/>
      <c r="AK53" s="39"/>
      <c r="AL53" s="37"/>
      <c r="AM53" s="37"/>
    </row>
    <row r="54" spans="1:39">
      <c r="A54" s="19">
        <f t="shared" si="1"/>
        <v>23</v>
      </c>
      <c r="B54" s="32"/>
      <c r="C54" s="22"/>
      <c r="D54" s="22"/>
      <c r="E54" s="22"/>
      <c r="F54" s="22"/>
      <c r="G54" s="22"/>
      <c r="H54" s="22"/>
      <c r="I54" s="23"/>
      <c r="J54" s="35"/>
      <c r="K54" s="28"/>
      <c r="L54" s="28"/>
      <c r="M54" s="52"/>
      <c r="N54" s="52"/>
      <c r="O54" s="49"/>
      <c r="P54" s="49"/>
      <c r="Q54" s="49" t="s">
        <v>63</v>
      </c>
      <c r="R54" s="49" t="s">
        <v>63</v>
      </c>
      <c r="S54" s="25">
        <v>9999</v>
      </c>
      <c r="T54" s="26">
        <f>(J54+K54+L54)+IF((VLOOKUP(Q54,MogulsDD!$A$1:$C$1000,3,FALSE)*(M54+O54)/2)&gt;3.75,3.75,VLOOKUP(Q54,MogulsDD!$A$1:$C$1000,3,FALSE)*(M54+O54)/2)+IF((VLOOKUP(R54,MogulsDD!$A$1:$C$1000,3,FALSE)*(N54+P54)/2)&gt;3.75,3.75,VLOOKUP(R54,MogulsDD!$A$1:$C$1000,3,FALSE)*(N54+P54)/2)+IF((18-12*S54/$J$5)&gt;7.5,7.5,IF((18-12*S54/$J$5)&lt;0,0,(18-12*S54/$J$5)))</f>
        <v>0</v>
      </c>
      <c r="U54" s="38"/>
      <c r="V54" s="38"/>
      <c r="W54" s="38"/>
      <c r="X54" s="38"/>
      <c r="Y54" s="39"/>
      <c r="Z54" s="38"/>
      <c r="AA54" s="38"/>
      <c r="AB54" s="38"/>
      <c r="AC54" s="38"/>
      <c r="AD54" s="39"/>
      <c r="AE54" s="38"/>
      <c r="AF54" s="38"/>
      <c r="AG54" s="38"/>
      <c r="AH54" s="38"/>
      <c r="AI54" s="39"/>
      <c r="AJ54" s="44"/>
      <c r="AK54" s="39"/>
      <c r="AL54" s="37"/>
      <c r="AM54" s="37"/>
    </row>
    <row r="55" spans="1:39"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7"/>
      <c r="AM55" s="37"/>
    </row>
    <row r="56" spans="1:39"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7"/>
      <c r="AM56" s="37"/>
    </row>
    <row r="57" spans="1:39"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7"/>
      <c r="AM57" s="37"/>
    </row>
    <row r="58" spans="1:39"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7"/>
      <c r="AM58" s="37"/>
    </row>
    <row r="59" spans="1:39"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7"/>
      <c r="AM59" s="37"/>
    </row>
    <row r="60" spans="1:39"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7"/>
      <c r="AM60" s="37"/>
    </row>
    <row r="61" spans="1:39"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7"/>
      <c r="AM61" s="37"/>
    </row>
    <row r="62" spans="1:39"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7"/>
      <c r="AM62" s="37"/>
    </row>
    <row r="63" spans="1:39"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7"/>
      <c r="AM63" s="37"/>
    </row>
    <row r="64" spans="1:39"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7"/>
      <c r="AM64" s="37"/>
    </row>
    <row r="65" spans="21:39"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7"/>
      <c r="AM65" s="37"/>
    </row>
    <row r="66" spans="21:39"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7"/>
      <c r="AM66" s="37"/>
    </row>
    <row r="67" spans="21:39"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7"/>
      <c r="AM67" s="37"/>
    </row>
    <row r="68" spans="21:39"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7"/>
      <c r="AM68" s="37"/>
    </row>
    <row r="69" spans="21:39"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7"/>
      <c r="AM69" s="37"/>
    </row>
    <row r="70" spans="21:39"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7"/>
      <c r="AM70" s="37"/>
    </row>
    <row r="71" spans="21:39"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7"/>
      <c r="AM71" s="37"/>
    </row>
    <row r="72" spans="21:39"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7"/>
      <c r="AM72" s="37"/>
    </row>
    <row r="73" spans="21:39"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7"/>
      <c r="AM73" s="37"/>
    </row>
    <row r="74" spans="21:39"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7"/>
      <c r="AM74" s="37"/>
    </row>
    <row r="75" spans="21:39"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</row>
    <row r="76" spans="21:39"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</row>
    <row r="77" spans="21:39"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</row>
    <row r="78" spans="21:39"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</row>
    <row r="79" spans="21:39"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</row>
    <row r="80" spans="21:39"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</row>
    <row r="81" spans="21:39"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</row>
    <row r="82" spans="21:39"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</row>
    <row r="83" spans="21:39"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</row>
    <row r="84" spans="21:39"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</row>
    <row r="85" spans="21:39"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</row>
    <row r="86" spans="21:39"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</row>
    <row r="87" spans="21:39"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</row>
    <row r="88" spans="21:39"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</row>
    <row r="89" spans="21:39"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</row>
    <row r="90" spans="21:39"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</row>
    <row r="91" spans="21:39"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</row>
    <row r="92" spans="21:39"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</row>
    <row r="93" spans="21:39"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</row>
    <row r="94" spans="21:39"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</row>
    <row r="95" spans="21:39"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</row>
    <row r="96" spans="21:39"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</row>
  </sheetData>
  <sortState ref="B31:T53">
    <sortCondition descending="1" ref="T31:T53"/>
  </sortState>
  <mergeCells count="12">
    <mergeCell ref="A1:I1"/>
    <mergeCell ref="A2:I2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</mergeCells>
  <hyperlinks>
    <hyperlink ref="J2" r:id="rId1" display="http://data.fis-ski.com/dynamic/event-details.html?event_id=36203&amp;cal_suchsector=FS"/>
    <hyperlink ref="L2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P72"/>
  <sheetViews>
    <sheetView workbookViewId="0">
      <selection activeCell="A30" sqref="A30"/>
    </sheetView>
  </sheetViews>
  <sheetFormatPr defaultColWidth="11.44140625" defaultRowHeight="13.2"/>
  <cols>
    <col min="2" max="2" width="8.109375" customWidth="1"/>
    <col min="3" max="3" width="7" customWidth="1"/>
    <col min="4" max="4" width="22" customWidth="1"/>
    <col min="5" max="5" width="10" customWidth="1"/>
    <col min="6" max="6" width="11.109375" customWidth="1"/>
    <col min="8" max="8" width="16.6640625" bestFit="1" customWidth="1"/>
    <col min="9" max="9" width="10.6640625" customWidth="1"/>
  </cols>
  <sheetData>
    <row r="1" spans="1:42" ht="24.6">
      <c r="A1" s="159"/>
      <c r="B1" s="159"/>
      <c r="C1" s="159"/>
      <c r="D1" s="159"/>
      <c r="E1" s="159"/>
      <c r="F1" s="159"/>
      <c r="G1" s="159"/>
      <c r="H1" s="159"/>
      <c r="I1" s="15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2" ht="17.399999999999999">
      <c r="A2" s="160" t="s">
        <v>227</v>
      </c>
      <c r="B2" s="160"/>
      <c r="C2" s="160"/>
      <c r="D2" s="160"/>
      <c r="E2" s="160"/>
      <c r="F2" s="160"/>
      <c r="G2" s="160"/>
      <c r="H2" s="160"/>
      <c r="I2" s="160"/>
      <c r="J2" s="95" t="s">
        <v>198</v>
      </c>
      <c r="K2" s="1"/>
      <c r="L2" s="95" t="s">
        <v>197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42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42" ht="13.8" thickBot="1">
      <c r="A4" s="7"/>
      <c r="B4" s="1"/>
      <c r="C4" s="1"/>
      <c r="D4" s="1"/>
      <c r="E4" s="1"/>
      <c r="F4" s="1"/>
      <c r="G4" s="1"/>
      <c r="H4" s="1"/>
      <c r="I4" s="1"/>
      <c r="J4" s="1" t="s">
        <v>152</v>
      </c>
      <c r="K4" s="1" t="s">
        <v>151</v>
      </c>
      <c r="L4" s="1"/>
      <c r="M4" s="1" t="s">
        <v>11</v>
      </c>
      <c r="N4" s="1" t="s">
        <v>219</v>
      </c>
      <c r="O4" s="1"/>
      <c r="P4" s="1" t="s">
        <v>216</v>
      </c>
      <c r="Q4" s="1" t="s">
        <v>224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42">
      <c r="A5" s="161" t="s">
        <v>6</v>
      </c>
      <c r="B5" s="162"/>
      <c r="C5" s="163" t="s">
        <v>255</v>
      </c>
      <c r="D5" s="164"/>
      <c r="E5" s="164"/>
      <c r="F5" s="165"/>
      <c r="G5" s="1"/>
      <c r="H5" s="1"/>
      <c r="I5" s="36" t="s">
        <v>69</v>
      </c>
      <c r="J5" s="1">
        <v>17.57</v>
      </c>
      <c r="K5" s="1">
        <v>20.71</v>
      </c>
      <c r="L5" s="1"/>
      <c r="M5" s="1" t="s">
        <v>12</v>
      </c>
      <c r="N5" s="1" t="s">
        <v>220</v>
      </c>
      <c r="O5" s="1"/>
      <c r="P5" s="1" t="s">
        <v>217</v>
      </c>
      <c r="Q5" s="1" t="s">
        <v>222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42">
      <c r="A6" s="149" t="s">
        <v>7</v>
      </c>
      <c r="B6" s="150"/>
      <c r="C6" s="151" t="s">
        <v>230</v>
      </c>
      <c r="D6" s="152"/>
      <c r="E6" s="152"/>
      <c r="F6" s="153"/>
      <c r="G6" s="1"/>
      <c r="H6" s="1"/>
      <c r="I6" s="1"/>
      <c r="J6" s="1"/>
      <c r="K6" s="1"/>
      <c r="L6" s="1"/>
      <c r="M6" s="1" t="s">
        <v>15</v>
      </c>
      <c r="N6" s="1" t="s">
        <v>221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42">
      <c r="A7" s="149" t="s">
        <v>8</v>
      </c>
      <c r="B7" s="150"/>
      <c r="C7" s="151" t="s">
        <v>242</v>
      </c>
      <c r="D7" s="152"/>
      <c r="E7" s="152"/>
      <c r="F7" s="153"/>
      <c r="G7" s="1"/>
      <c r="H7" s="1"/>
      <c r="I7" s="101" t="s">
        <v>289</v>
      </c>
      <c r="J7" s="1"/>
      <c r="K7" s="1"/>
      <c r="L7" s="1"/>
      <c r="M7" s="1" t="s">
        <v>214</v>
      </c>
      <c r="N7" s="1" t="s">
        <v>222</v>
      </c>
      <c r="O7" s="1"/>
      <c r="P7" s="1" t="s">
        <v>225</v>
      </c>
      <c r="Q7" s="1" t="s">
        <v>226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42">
      <c r="A8" s="149" t="s">
        <v>9</v>
      </c>
      <c r="B8" s="150"/>
      <c r="C8" s="151" t="s">
        <v>104</v>
      </c>
      <c r="D8" s="152"/>
      <c r="E8" s="152"/>
      <c r="F8" s="153"/>
      <c r="G8" s="1"/>
      <c r="H8" s="1"/>
      <c r="I8" s="102" t="s">
        <v>290</v>
      </c>
      <c r="J8" s="1"/>
      <c r="K8" s="1"/>
      <c r="L8" s="1"/>
      <c r="M8" s="1" t="s">
        <v>215</v>
      </c>
      <c r="N8" s="1" t="s">
        <v>223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42" ht="13.8" thickBot="1">
      <c r="A9" s="154" t="s">
        <v>10</v>
      </c>
      <c r="B9" s="155"/>
      <c r="C9" s="156" t="s">
        <v>105</v>
      </c>
      <c r="D9" s="157"/>
      <c r="E9" s="157"/>
      <c r="F9" s="15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37"/>
      <c r="AO9" s="37"/>
      <c r="AP9" s="37"/>
    </row>
    <row r="10" spans="1:42" ht="13.8" thickBot="1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9"/>
      <c r="AO10" s="37"/>
      <c r="AP10" s="37"/>
    </row>
    <row r="11" spans="1:42" ht="13.8" thickBot="1">
      <c r="A11" s="8"/>
      <c r="B11" s="5"/>
      <c r="C11" s="5"/>
      <c r="D11" s="5"/>
      <c r="E11" s="20" t="s">
        <v>256</v>
      </c>
      <c r="F11" s="5"/>
      <c r="G11" s="5"/>
      <c r="H11" s="5"/>
      <c r="I11" s="6"/>
      <c r="J11" s="21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45"/>
      <c r="X11" s="38"/>
      <c r="Y11" s="38"/>
      <c r="Z11" s="38"/>
      <c r="AA11" s="38"/>
      <c r="AB11" s="38"/>
      <c r="AC11" s="38"/>
      <c r="AD11" s="38"/>
      <c r="AE11" s="38"/>
      <c r="AF11" s="38"/>
      <c r="AG11" s="40"/>
      <c r="AH11" s="38"/>
      <c r="AI11" s="38"/>
      <c r="AJ11" s="38"/>
      <c r="AK11" s="38"/>
      <c r="AL11" s="40"/>
      <c r="AM11" s="38"/>
      <c r="AN11" s="39"/>
      <c r="AO11" s="37"/>
      <c r="AP11" s="37"/>
    </row>
    <row r="12" spans="1:42" ht="13.8" thickBot="1">
      <c r="A12" s="2" t="s">
        <v>0</v>
      </c>
      <c r="B12" s="3" t="s">
        <v>1</v>
      </c>
      <c r="C12" s="3" t="s">
        <v>252</v>
      </c>
      <c r="D12" s="3" t="s">
        <v>111</v>
      </c>
      <c r="E12" s="3" t="s">
        <v>238</v>
      </c>
      <c r="F12" s="3" t="s">
        <v>16</v>
      </c>
      <c r="G12" s="3" t="s">
        <v>3</v>
      </c>
      <c r="H12" s="3" t="s">
        <v>4</v>
      </c>
      <c r="I12" s="4" t="s">
        <v>5</v>
      </c>
      <c r="J12" s="2" t="s">
        <v>11</v>
      </c>
      <c r="K12" s="3" t="s">
        <v>12</v>
      </c>
      <c r="L12" s="3" t="s">
        <v>13</v>
      </c>
      <c r="M12" s="3" t="s">
        <v>66</v>
      </c>
      <c r="N12" s="3" t="s">
        <v>65</v>
      </c>
      <c r="O12" s="3" t="s">
        <v>67</v>
      </c>
      <c r="P12" s="3" t="s">
        <v>68</v>
      </c>
      <c r="Q12" s="3" t="s">
        <v>59</v>
      </c>
      <c r="R12" s="3" t="s">
        <v>60</v>
      </c>
      <c r="S12" s="3" t="s">
        <v>22</v>
      </c>
      <c r="T12" s="3" t="s">
        <v>314</v>
      </c>
      <c r="U12" s="3" t="s">
        <v>315</v>
      </c>
      <c r="V12" s="3" t="s">
        <v>316</v>
      </c>
      <c r="W12" s="46" t="s">
        <v>14</v>
      </c>
      <c r="X12" s="41"/>
      <c r="Y12" s="41"/>
      <c r="Z12" s="41"/>
      <c r="AA12" s="41"/>
      <c r="AB12" s="42"/>
      <c r="AC12" s="41"/>
      <c r="AD12" s="41"/>
      <c r="AE12" s="41"/>
      <c r="AF12" s="41"/>
      <c r="AG12" s="42"/>
      <c r="AH12" s="41"/>
      <c r="AI12" s="41"/>
      <c r="AJ12" s="41"/>
      <c r="AK12" s="41"/>
      <c r="AL12" s="42"/>
      <c r="AM12" s="43"/>
      <c r="AN12" s="39"/>
      <c r="AO12" s="37"/>
      <c r="AP12" s="37"/>
    </row>
    <row r="13" spans="1:42">
      <c r="A13" s="19">
        <f>RANK(W13,$W$13:$W$16,0)</f>
        <v>1</v>
      </c>
      <c r="B13" s="22"/>
      <c r="C13" s="22">
        <v>12</v>
      </c>
      <c r="D13" s="22" t="s">
        <v>236</v>
      </c>
      <c r="E13" s="22">
        <v>2528719</v>
      </c>
      <c r="F13" s="22"/>
      <c r="G13" s="22" t="s">
        <v>240</v>
      </c>
      <c r="H13" s="22" t="s">
        <v>251</v>
      </c>
      <c r="I13" s="23"/>
      <c r="J13" s="24">
        <v>4.0999999999999996</v>
      </c>
      <c r="K13" s="25">
        <v>4</v>
      </c>
      <c r="L13" s="25">
        <v>4.2</v>
      </c>
      <c r="M13" s="51">
        <v>2.1</v>
      </c>
      <c r="N13" s="51">
        <v>2.1</v>
      </c>
      <c r="O13" s="49">
        <v>2</v>
      </c>
      <c r="P13" s="49">
        <v>2.1</v>
      </c>
      <c r="Q13" s="49" t="s">
        <v>276</v>
      </c>
      <c r="R13" s="49" t="s">
        <v>61</v>
      </c>
      <c r="S13" s="25">
        <v>21.34</v>
      </c>
      <c r="T13" s="143">
        <f>(J13+K13+L13)</f>
        <v>12.3</v>
      </c>
      <c r="U13" s="143">
        <f>IF((VLOOKUP(Q13,MogulsDD!$A$1:$D$1000,4,FALSE)*(M13+O13)/2)&gt;3.75,3.75,VLOOKUP(Q13,MogulsDD!$A$1:$D$1000,4,FALSE)*(M13+O13)/2)+IF((VLOOKUP(R13,MogulsDD!$A$1:$D$1000,4,FALSE)*(N13+P13)/2)&gt;3.75,3.75,VLOOKUP(R13,MogulsDD!$A$1:$D$1000,4,FALSE)*(N13+P13)/2)</f>
        <v>4.9799999999999995</v>
      </c>
      <c r="V13" s="143">
        <f>IF((18-12*S13/$K$5)&gt;7.5,7.5,IF((18-12*S13/$K$5)&lt;0,0,(18-12*S13/$K$5)))</f>
        <v>5.6349589570255922</v>
      </c>
      <c r="W13" s="144">
        <f>(J13+K13+L13)+IF((VLOOKUP(Q13,MogulsDD!$A$1:$D$1000,4,FALSE)*(M13+O13)/2)&gt;3.75,3.75,VLOOKUP(Q13,MogulsDD!$A$1:$D$1000,4,FALSE)*(M13+O13)/2)+IF((VLOOKUP(R13,MogulsDD!$A$1:$D$1000,4,FALSE)*(N13+P13)/2)&gt;3.75,3.75,VLOOKUP(R13,MogulsDD!$A$1:$D$1000,4,FALSE)*(N13+P13)/2)+IF((18-12*S13/$K$5)&gt;7.5,7.5,IF((18-12*S13/$K$5)&lt;0,0,(18-12*S13/$K$5)))</f>
        <v>22.914958957025593</v>
      </c>
      <c r="X13" s="38"/>
      <c r="Y13" s="38"/>
      <c r="Z13" s="38"/>
      <c r="AA13" s="38"/>
      <c r="AB13" s="39"/>
      <c r="AC13" s="38"/>
      <c r="AD13" s="38"/>
      <c r="AE13" s="38"/>
      <c r="AF13" s="38"/>
      <c r="AG13" s="39"/>
      <c r="AH13" s="38"/>
      <c r="AI13" s="38"/>
      <c r="AJ13" s="38"/>
      <c r="AK13" s="38"/>
      <c r="AL13" s="39"/>
      <c r="AM13" s="44"/>
      <c r="AN13" s="39"/>
      <c r="AO13" s="37"/>
      <c r="AP13" s="37"/>
    </row>
    <row r="14" spans="1:42">
      <c r="A14" s="19">
        <f>RANK(W14,$W$13:$W$16,0)</f>
        <v>2</v>
      </c>
      <c r="B14" s="22"/>
      <c r="C14" s="22">
        <v>7</v>
      </c>
      <c r="D14" s="22" t="s">
        <v>176</v>
      </c>
      <c r="E14" s="22">
        <v>2531087</v>
      </c>
      <c r="F14" s="22" t="s">
        <v>173</v>
      </c>
      <c r="G14" s="22" t="s">
        <v>239</v>
      </c>
      <c r="H14" s="22" t="s">
        <v>177</v>
      </c>
      <c r="I14" s="23" t="s">
        <v>178</v>
      </c>
      <c r="J14" s="27">
        <v>3.6</v>
      </c>
      <c r="K14" s="28">
        <v>3.3</v>
      </c>
      <c r="L14" s="28">
        <v>3.5</v>
      </c>
      <c r="M14" s="52">
        <v>1.8</v>
      </c>
      <c r="N14" s="52">
        <v>1.7</v>
      </c>
      <c r="O14" s="49">
        <v>1.9</v>
      </c>
      <c r="P14" s="49">
        <v>1.8</v>
      </c>
      <c r="Q14" s="49" t="s">
        <v>275</v>
      </c>
      <c r="R14" s="49" t="s">
        <v>279</v>
      </c>
      <c r="S14" s="25">
        <v>19.25</v>
      </c>
      <c r="T14" s="143">
        <f t="shared" ref="T14:T18" si="0">(J14+K14+L14)</f>
        <v>10.4</v>
      </c>
      <c r="U14" s="143">
        <f>IF((VLOOKUP(Q14,MogulsDD!$A$1:$D$1000,4,FALSE)*(M14+O14)/2)&gt;3.75,3.75,VLOOKUP(Q14,MogulsDD!$A$1:$D$1000,4,FALSE)*(M14+O14)/2)+IF((VLOOKUP(R14,MogulsDD!$A$1:$D$1000,4,FALSE)*(N14+P14)/2)&gt;3.75,3.75,VLOOKUP(R14,MogulsDD!$A$1:$D$1000,4,FALSE)*(N14+P14)/2)</f>
        <v>3.069</v>
      </c>
      <c r="V14" s="143">
        <f t="shared" ref="V14:V18" si="1">IF((18-12*S14/$K$5)&gt;7.5,7.5,IF((18-12*S14/$K$5)&lt;0,0,(18-12*S14/$K$5)))</f>
        <v>6.8459681313375178</v>
      </c>
      <c r="W14" s="144">
        <f>(J14+K14+L14)+IF((VLOOKUP(Q14,MogulsDD!$A$1:$D$1000,4,FALSE)*(M14+O14)/2)&gt;3.75,3.75,VLOOKUP(Q14,MogulsDD!$A$1:$D$1000,4,FALSE)*(M14+O14)/2)+IF((VLOOKUP(R14,MogulsDD!$A$1:$D$1000,4,FALSE)*(N14+P14)/2)&gt;3.75,3.75,VLOOKUP(R14,MogulsDD!$A$1:$D$1000,4,FALSE)*(N14+P14)/2)+IF((18-12*S14/$K$5)&gt;7.5,7.5,IF((18-12*S14/$K$5)&lt;0,0,(18-12*S14/$K$5)))</f>
        <v>20.314968131337515</v>
      </c>
      <c r="X14" s="38"/>
      <c r="Y14" s="38"/>
      <c r="Z14" s="38"/>
      <c r="AA14" s="38"/>
      <c r="AB14" s="39"/>
      <c r="AC14" s="38"/>
      <c r="AD14" s="38"/>
      <c r="AE14" s="38"/>
      <c r="AF14" s="38"/>
      <c r="AG14" s="39"/>
      <c r="AH14" s="38"/>
      <c r="AI14" s="38"/>
      <c r="AJ14" s="38"/>
      <c r="AK14" s="38"/>
      <c r="AL14" s="39"/>
      <c r="AM14" s="44"/>
      <c r="AN14" s="39"/>
      <c r="AO14" s="37"/>
      <c r="AP14" s="37"/>
    </row>
    <row r="15" spans="1:42">
      <c r="A15" s="19">
        <f>RANK(W15,$W$13:$W$16,0)</f>
        <v>3</v>
      </c>
      <c r="B15" s="22"/>
      <c r="C15" s="22">
        <v>3</v>
      </c>
      <c r="D15" s="22" t="s">
        <v>179</v>
      </c>
      <c r="E15" s="22">
        <v>2530095</v>
      </c>
      <c r="F15" s="22" t="s">
        <v>173</v>
      </c>
      <c r="G15" s="22" t="s">
        <v>239</v>
      </c>
      <c r="H15" s="22" t="s">
        <v>180</v>
      </c>
      <c r="I15" s="23" t="s">
        <v>181</v>
      </c>
      <c r="J15" s="27">
        <v>3.5</v>
      </c>
      <c r="K15" s="28">
        <v>3.6</v>
      </c>
      <c r="L15" s="28">
        <v>3.4</v>
      </c>
      <c r="M15" s="52">
        <v>1.7</v>
      </c>
      <c r="N15" s="52">
        <v>1.8</v>
      </c>
      <c r="O15" s="49">
        <v>1.7</v>
      </c>
      <c r="P15" s="49">
        <v>1.7</v>
      </c>
      <c r="Q15" s="49" t="s">
        <v>273</v>
      </c>
      <c r="R15" s="49" t="s">
        <v>279</v>
      </c>
      <c r="S15" s="25">
        <v>19.57</v>
      </c>
      <c r="T15" s="143">
        <f t="shared" si="0"/>
        <v>10.5</v>
      </c>
      <c r="U15" s="143">
        <f>IF((VLOOKUP(Q15,MogulsDD!$A$1:$D$1000,4,FALSE)*(M15+O15)/2)&gt;3.75,3.75,VLOOKUP(Q15,MogulsDD!$A$1:$D$1000,4,FALSE)*(M15+O15)/2)+IF((VLOOKUP(R15,MogulsDD!$A$1:$D$1000,4,FALSE)*(N15+P15)/2)&gt;3.75,3.75,VLOOKUP(R15,MogulsDD!$A$1:$D$1000,4,FALSE)*(N15+P15)/2)</f>
        <v>2.8600000000000003</v>
      </c>
      <c r="V15" s="143">
        <f t="shared" si="1"/>
        <v>6.6605504587155959</v>
      </c>
      <c r="W15" s="144">
        <f>(J15+K15+L15)+IF((VLOOKUP(Q15,MogulsDD!$A$1:$D$1000,4,FALSE)*(M15+O15)/2)&gt;3.75,3.75,VLOOKUP(Q15,MogulsDD!$A$1:$D$1000,4,FALSE)*(M15+O15)/2)+IF((VLOOKUP(R15,MogulsDD!$A$1:$D$1000,4,FALSE)*(N15+P15)/2)&gt;3.75,3.75,VLOOKUP(R15,MogulsDD!$A$1:$D$1000,4,FALSE)*(N15+P15)/2)+IF((18-12*S15/$K$5)&gt;7.5,7.5,IF((18-12*S15/$K$5)&lt;0,0,(18-12*S15/$K$5)))</f>
        <v>20.020550458715597</v>
      </c>
      <c r="X15" s="38"/>
      <c r="Y15" s="38"/>
      <c r="Z15" s="38"/>
      <c r="AA15" s="38"/>
      <c r="AB15" s="39"/>
      <c r="AC15" s="38"/>
      <c r="AD15" s="38"/>
      <c r="AE15" s="38"/>
      <c r="AF15" s="38"/>
      <c r="AG15" s="39"/>
      <c r="AH15" s="38"/>
      <c r="AI15" s="38"/>
      <c r="AJ15" s="38"/>
      <c r="AK15" s="38"/>
      <c r="AL15" s="39"/>
      <c r="AM15" s="44"/>
      <c r="AN15" s="39"/>
      <c r="AO15" s="37"/>
      <c r="AP15" s="37"/>
    </row>
    <row r="16" spans="1:42" ht="13.8" thickBot="1">
      <c r="A16" s="19">
        <f>RANK(W16,$W$13:$W$16,0)</f>
        <v>4</v>
      </c>
      <c r="B16" s="14"/>
      <c r="C16" s="22">
        <v>4</v>
      </c>
      <c r="D16" s="14" t="s">
        <v>212</v>
      </c>
      <c r="E16" s="22">
        <v>2532171</v>
      </c>
      <c r="F16" s="14" t="s">
        <v>206</v>
      </c>
      <c r="G16" s="14" t="s">
        <v>207</v>
      </c>
      <c r="H16" s="14" t="s">
        <v>245</v>
      </c>
      <c r="I16" s="18" t="s">
        <v>213</v>
      </c>
      <c r="J16" s="29">
        <v>0.1</v>
      </c>
      <c r="K16" s="30">
        <v>0.1</v>
      </c>
      <c r="L16" s="30">
        <v>0.1</v>
      </c>
      <c r="M16" s="53">
        <v>0.1</v>
      </c>
      <c r="N16" s="53">
        <v>0.1</v>
      </c>
      <c r="O16" s="50">
        <v>0.1</v>
      </c>
      <c r="P16" s="50">
        <v>0.1</v>
      </c>
      <c r="Q16" s="49" t="s">
        <v>61</v>
      </c>
      <c r="R16" s="49" t="s">
        <v>272</v>
      </c>
      <c r="S16" s="25">
        <v>33.76</v>
      </c>
      <c r="T16" s="143">
        <f t="shared" si="0"/>
        <v>0.30000000000000004</v>
      </c>
      <c r="U16" s="143">
        <f>IF((VLOOKUP(Q16,MogulsDD!$A$1:$D$1000,4,FALSE)*(M16+O16)/2)&gt;3.75,3.75,VLOOKUP(Q16,MogulsDD!$A$1:$D$1000,4,FALSE)*(M16+O16)/2)+IF((VLOOKUP(R16,MogulsDD!$A$1:$D$1000,4,FALSE)*(N16+P16)/2)&gt;3.75,3.75,VLOOKUP(R16,MogulsDD!$A$1:$D$1000,4,FALSE)*(N16+P16)/2)</f>
        <v>0.245</v>
      </c>
      <c r="V16" s="143">
        <f t="shared" si="1"/>
        <v>0</v>
      </c>
      <c r="W16" s="144">
        <f>(J16+K16+L16)+IF((VLOOKUP(Q16,MogulsDD!$A$1:$D$1000,4,FALSE)*(M16+O16)/2)&gt;3.75,3.75,VLOOKUP(Q16,MogulsDD!$A$1:$D$1000,4,FALSE)*(M16+O16)/2)+IF((VLOOKUP(R16,MogulsDD!$A$1:$D$1000,4,FALSE)*(N16+P16)/2)&gt;3.75,3.75,VLOOKUP(R16,MogulsDD!$A$1:$D$1000,4,FALSE)*(N16+P16)/2)+IF((18-12*S16/$K$5)&gt;7.5,7.5,IF((18-12*S16/$K$5)&lt;0,0,(18-12*S16/$K$5)))</f>
        <v>0.54500000000000004</v>
      </c>
      <c r="X16" s="38"/>
      <c r="Y16" s="38"/>
      <c r="Z16" s="38"/>
      <c r="AA16" s="38"/>
      <c r="AB16" s="39"/>
      <c r="AC16" s="38"/>
      <c r="AD16" s="38"/>
      <c r="AE16" s="38"/>
      <c r="AF16" s="38"/>
      <c r="AG16" s="39"/>
      <c r="AH16" s="38"/>
      <c r="AI16" s="38"/>
      <c r="AJ16" s="38"/>
      <c r="AK16" s="38"/>
      <c r="AL16" s="39"/>
      <c r="AM16" s="44"/>
      <c r="AN16" s="39"/>
      <c r="AO16" s="37"/>
      <c r="AP16" s="37"/>
    </row>
    <row r="17" spans="1:42">
      <c r="A17" s="132">
        <v>5</v>
      </c>
      <c r="B17" s="126"/>
      <c r="C17" s="126">
        <v>10</v>
      </c>
      <c r="D17" s="126" t="s">
        <v>182</v>
      </c>
      <c r="E17" s="126">
        <v>2530097</v>
      </c>
      <c r="F17" s="126" t="s">
        <v>173</v>
      </c>
      <c r="G17" s="126" t="s">
        <v>239</v>
      </c>
      <c r="H17" s="140" t="s">
        <v>183</v>
      </c>
      <c r="I17" s="127" t="s">
        <v>115</v>
      </c>
      <c r="J17" s="130">
        <v>2.4</v>
      </c>
      <c r="K17" s="131">
        <v>2.8</v>
      </c>
      <c r="L17" s="131">
        <v>2.5</v>
      </c>
      <c r="M17" s="131">
        <v>1.4</v>
      </c>
      <c r="N17" s="131">
        <v>1.1000000000000001</v>
      </c>
      <c r="O17" s="129">
        <v>1.4</v>
      </c>
      <c r="P17" s="129">
        <v>1.5</v>
      </c>
      <c r="Q17" s="129" t="s">
        <v>61</v>
      </c>
      <c r="R17" s="129" t="s">
        <v>273</v>
      </c>
      <c r="S17" s="129">
        <v>22.42</v>
      </c>
      <c r="T17" s="145">
        <f t="shared" si="0"/>
        <v>7.6999999999999993</v>
      </c>
      <c r="U17" s="145">
        <f>IF((VLOOKUP(Q17,MogulsDD!$A$1:$D$1000,4,FALSE)*(M17+O17)/2)&gt;3.75,3.75,VLOOKUP(Q17,MogulsDD!$A$1:$D$1000,4,FALSE)*(M17+O17)/2)+IF((VLOOKUP(R17,MogulsDD!$A$1:$D$1000,4,FALSE)*(N17+P17)/2)&gt;3.75,3.75,VLOOKUP(R17,MogulsDD!$A$1:$D$1000,4,FALSE)*(N17+P17)/2)</f>
        <v>2.85</v>
      </c>
      <c r="V17" s="145">
        <f t="shared" si="1"/>
        <v>5.0091743119266052</v>
      </c>
      <c r="W17" s="146">
        <v>15.559174311926604</v>
      </c>
      <c r="X17" s="38"/>
      <c r="Y17" s="38"/>
      <c r="Z17" s="38"/>
      <c r="AA17" s="38"/>
      <c r="AB17" s="39"/>
      <c r="AC17" s="38"/>
      <c r="AD17" s="38"/>
      <c r="AE17" s="38"/>
      <c r="AF17" s="38"/>
      <c r="AG17" s="39"/>
      <c r="AH17" s="38"/>
      <c r="AI17" s="38"/>
      <c r="AJ17" s="38"/>
      <c r="AK17" s="38"/>
      <c r="AL17" s="39"/>
      <c r="AM17" s="44"/>
      <c r="AN17" s="39"/>
      <c r="AO17" s="37"/>
      <c r="AP17" s="37"/>
    </row>
    <row r="18" spans="1:42">
      <c r="A18" s="132">
        <v>6</v>
      </c>
      <c r="B18" s="126"/>
      <c r="C18" s="126">
        <v>14</v>
      </c>
      <c r="D18" s="126" t="s">
        <v>208</v>
      </c>
      <c r="E18" s="126">
        <v>2531506</v>
      </c>
      <c r="F18" s="126" t="s">
        <v>164</v>
      </c>
      <c r="G18" s="126" t="s">
        <v>209</v>
      </c>
      <c r="H18" s="126" t="s">
        <v>210</v>
      </c>
      <c r="I18" s="127" t="s">
        <v>211</v>
      </c>
      <c r="J18" s="130">
        <v>0.2</v>
      </c>
      <c r="K18" s="131">
        <v>0.7</v>
      </c>
      <c r="L18" s="131">
        <v>0.3</v>
      </c>
      <c r="M18" s="131">
        <v>1.3</v>
      </c>
      <c r="N18" s="131">
        <v>0.1</v>
      </c>
      <c r="O18" s="129">
        <v>1.1000000000000001</v>
      </c>
      <c r="P18" s="129">
        <v>0.1</v>
      </c>
      <c r="Q18" s="129" t="s">
        <v>279</v>
      </c>
      <c r="R18" s="129" t="s">
        <v>61</v>
      </c>
      <c r="S18" s="129">
        <v>24.71</v>
      </c>
      <c r="T18" s="145">
        <f t="shared" si="0"/>
        <v>1.2</v>
      </c>
      <c r="U18" s="145">
        <f>IF((VLOOKUP(Q18,MogulsDD!$A$1:$D$1000,4,FALSE)*(M18+O18)/2)&gt;3.75,3.75,VLOOKUP(Q18,MogulsDD!$A$1:$D$1000,4,FALSE)*(M18+O18)/2)+IF((VLOOKUP(R18,MogulsDD!$A$1:$D$1000,4,FALSE)*(N18+P18)/2)&gt;3.75,3.75,VLOOKUP(R18,MogulsDD!$A$1:$D$1000,4,FALSE)*(N18+P18)/2)</f>
        <v>1.032</v>
      </c>
      <c r="V18" s="145">
        <f t="shared" si="1"/>
        <v>3.6822790922259792</v>
      </c>
      <c r="W18" s="146">
        <v>5.9142790922259794</v>
      </c>
      <c r="X18" s="38"/>
      <c r="Y18" s="38"/>
      <c r="Z18" s="38"/>
      <c r="AA18" s="38"/>
      <c r="AB18" s="39"/>
      <c r="AC18" s="38"/>
      <c r="AD18" s="38"/>
      <c r="AE18" s="38"/>
      <c r="AF18" s="38"/>
      <c r="AG18" s="39"/>
      <c r="AH18" s="38"/>
      <c r="AI18" s="38"/>
      <c r="AJ18" s="38"/>
      <c r="AK18" s="38"/>
      <c r="AL18" s="39"/>
      <c r="AM18" s="44"/>
      <c r="AN18" s="39"/>
      <c r="AO18" s="37"/>
      <c r="AP18" s="37"/>
    </row>
    <row r="19" spans="1:42" ht="13.8" thickBot="1">
      <c r="A19" s="7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47"/>
      <c r="X19" s="38"/>
      <c r="Y19" s="38"/>
      <c r="Z19" s="38"/>
      <c r="AA19" s="38"/>
      <c r="AB19" s="39"/>
      <c r="AC19" s="38"/>
      <c r="AD19" s="38"/>
      <c r="AE19" s="38"/>
      <c r="AF19" s="38"/>
      <c r="AG19" s="38"/>
      <c r="AH19" s="38"/>
      <c r="AI19" s="38"/>
      <c r="AJ19" s="38"/>
      <c r="AK19" s="38"/>
      <c r="AL19" s="39"/>
      <c r="AM19" s="38"/>
      <c r="AN19" s="39"/>
      <c r="AO19" s="37"/>
      <c r="AP19" s="37"/>
    </row>
    <row r="20" spans="1:42" ht="13.8" thickBot="1">
      <c r="A20" s="12"/>
      <c r="B20" s="11"/>
      <c r="C20" s="9"/>
      <c r="D20" s="9"/>
      <c r="E20" s="31" t="s">
        <v>257</v>
      </c>
      <c r="F20" s="9"/>
      <c r="G20" s="9"/>
      <c r="H20" s="9"/>
      <c r="I20" s="10"/>
      <c r="J20" s="21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48"/>
      <c r="X20" s="38"/>
      <c r="Y20" s="38"/>
      <c r="Z20" s="38"/>
      <c r="AA20" s="38"/>
      <c r="AB20" s="38"/>
      <c r="AC20" s="38"/>
      <c r="AD20" s="38"/>
      <c r="AE20" s="38"/>
      <c r="AF20" s="38"/>
      <c r="AG20" s="40"/>
      <c r="AH20" s="38"/>
      <c r="AI20" s="38"/>
      <c r="AJ20" s="38"/>
      <c r="AK20" s="38"/>
      <c r="AL20" s="40"/>
      <c r="AM20" s="38"/>
      <c r="AN20" s="39"/>
      <c r="AO20" s="37"/>
      <c r="AP20" s="37"/>
    </row>
    <row r="21" spans="1:42" ht="13.8" thickBot="1">
      <c r="A21" s="2"/>
      <c r="B21" s="3" t="s">
        <v>1</v>
      </c>
      <c r="C21" s="3" t="s">
        <v>252</v>
      </c>
      <c r="D21" s="3" t="s">
        <v>111</v>
      </c>
      <c r="E21" s="3" t="s">
        <v>238</v>
      </c>
      <c r="F21" s="3" t="s">
        <v>101</v>
      </c>
      <c r="G21" s="3" t="s">
        <v>3</v>
      </c>
      <c r="H21" s="3" t="s">
        <v>4</v>
      </c>
      <c r="I21" s="4" t="s">
        <v>5</v>
      </c>
      <c r="J21" s="2" t="s">
        <v>11</v>
      </c>
      <c r="K21" s="3" t="s">
        <v>12</v>
      </c>
      <c r="L21" s="3" t="s">
        <v>15</v>
      </c>
      <c r="M21" s="3" t="s">
        <v>66</v>
      </c>
      <c r="N21" s="3" t="s">
        <v>65</v>
      </c>
      <c r="O21" s="3" t="s">
        <v>67</v>
      </c>
      <c r="P21" s="3" t="s">
        <v>68</v>
      </c>
      <c r="Q21" s="3" t="s">
        <v>59</v>
      </c>
      <c r="R21" s="3" t="s">
        <v>60</v>
      </c>
      <c r="S21" s="3" t="s">
        <v>22</v>
      </c>
      <c r="T21" s="3" t="s">
        <v>314</v>
      </c>
      <c r="U21" s="3" t="s">
        <v>315</v>
      </c>
      <c r="V21" s="3" t="s">
        <v>316</v>
      </c>
      <c r="W21" s="46" t="s">
        <v>14</v>
      </c>
      <c r="X21" s="41"/>
      <c r="Y21" s="41"/>
      <c r="Z21" s="41"/>
      <c r="AA21" s="41"/>
      <c r="AB21" s="42"/>
      <c r="AC21" s="41"/>
      <c r="AD21" s="41"/>
      <c r="AE21" s="41"/>
      <c r="AF21" s="41"/>
      <c r="AG21" s="42"/>
      <c r="AH21" s="41"/>
      <c r="AI21" s="41"/>
      <c r="AJ21" s="41"/>
      <c r="AK21" s="41"/>
      <c r="AL21" s="42"/>
      <c r="AM21" s="43"/>
      <c r="AN21" s="39"/>
      <c r="AO21" s="37"/>
      <c r="AP21" s="37"/>
    </row>
    <row r="22" spans="1:42">
      <c r="A22" s="19">
        <f>RANK(W22,$W$22:$W$25,0)</f>
        <v>1</v>
      </c>
      <c r="B22" s="32">
        <v>56</v>
      </c>
      <c r="C22" s="22">
        <v>20</v>
      </c>
      <c r="D22" s="22" t="s">
        <v>172</v>
      </c>
      <c r="E22" s="22">
        <v>2531748</v>
      </c>
      <c r="F22" s="22" t="s">
        <v>173</v>
      </c>
      <c r="G22" s="22" t="s">
        <v>239</v>
      </c>
      <c r="H22" s="22" t="s">
        <v>174</v>
      </c>
      <c r="I22" s="23" t="s">
        <v>175</v>
      </c>
      <c r="J22" s="27">
        <v>4.3</v>
      </c>
      <c r="K22" s="28">
        <v>4.3</v>
      </c>
      <c r="L22" s="28">
        <v>4.2</v>
      </c>
      <c r="M22" s="52">
        <v>2.2999999999999998</v>
      </c>
      <c r="N22" s="52">
        <v>2.2000000000000002</v>
      </c>
      <c r="O22" s="49">
        <v>2.4</v>
      </c>
      <c r="P22" s="49">
        <v>2.2999999999999998</v>
      </c>
      <c r="Q22" s="49" t="s">
        <v>270</v>
      </c>
      <c r="R22" s="49" t="s">
        <v>272</v>
      </c>
      <c r="S22" s="25">
        <v>17.43</v>
      </c>
      <c r="T22" s="143">
        <f t="shared" ref="T22:T30" si="2">(J22+K22+L22)</f>
        <v>12.8</v>
      </c>
      <c r="U22" s="143">
        <f>IF((VLOOKUP(Q22,MogulsDD!$A$1:$C$1000,3,FALSE)*(M22+O22)/2)&gt;3.75,3.75,VLOOKUP(Q22,MogulsDD!$A$1:$C$1000,3,FALSE)*(M22+O22)/2)+IF((VLOOKUP(R22,MogulsDD!$A$1:$C$1000,3,FALSE)*(N22+P22)/2)&gt;3.75,3.75,VLOOKUP(R22,MogulsDD!$A$1:$C$1000,3,FALSE)*(N22+P22)/2)</f>
        <v>4.9424999999999999</v>
      </c>
      <c r="V22" s="143">
        <f t="shared" ref="V22:V30" si="3">IF((18-12*S22/$J$5)&gt;7.5,7.5,IF((18-12*S22/$J$5)&lt;0,0,(18-12*S22/$J$5)))</f>
        <v>6.095617529880478</v>
      </c>
      <c r="W22" s="144">
        <f>(J22+K22+L22)+IF((VLOOKUP(Q22,MogulsDD!$A$1:$C$1000,3,FALSE)*(M22+O22)/2)&gt;3.75,3.75,VLOOKUP(Q22,MogulsDD!$A$1:$C$1000,3,FALSE)*(M22+O22)/2)+IF((VLOOKUP(R22,MogulsDD!$A$1:$C$1000,3,FALSE)*(N22+P22)/2)&gt;3.75,3.75,VLOOKUP(R22,MogulsDD!$A$1:$C$1000,3,FALSE)*(N22+P22)/2)+IF((18-12*S22/$J$5)&gt;7.5,7.5,IF((18-12*S22/$J$5)&lt;0,0,(18-12*S22/$J$5)))</f>
        <v>23.838117529880478</v>
      </c>
      <c r="X22" s="38"/>
      <c r="Y22" s="38"/>
      <c r="Z22" s="38"/>
      <c r="AA22" s="38"/>
      <c r="AB22" s="39"/>
      <c r="AC22" s="38"/>
      <c r="AD22" s="38"/>
      <c r="AE22" s="38"/>
      <c r="AF22" s="38"/>
      <c r="AG22" s="39"/>
      <c r="AH22" s="38"/>
      <c r="AI22" s="38"/>
      <c r="AJ22" s="38"/>
      <c r="AK22" s="38"/>
      <c r="AL22" s="39"/>
      <c r="AM22" s="44"/>
      <c r="AN22" s="39"/>
      <c r="AO22" s="37"/>
      <c r="AP22" s="37"/>
    </row>
    <row r="23" spans="1:42">
      <c r="A23" s="19">
        <f>RANK(W23,$W$22:$W$25,0)</f>
        <v>2</v>
      </c>
      <c r="B23" s="32">
        <v>97</v>
      </c>
      <c r="C23" s="22">
        <v>2</v>
      </c>
      <c r="D23" s="22" t="s">
        <v>159</v>
      </c>
      <c r="E23" s="22">
        <v>2485295</v>
      </c>
      <c r="F23" s="22" t="s">
        <v>160</v>
      </c>
      <c r="G23" s="22" t="s">
        <v>122</v>
      </c>
      <c r="H23" s="22" t="s">
        <v>161</v>
      </c>
      <c r="I23" s="23" t="s">
        <v>162</v>
      </c>
      <c r="J23" s="27">
        <v>4.4000000000000004</v>
      </c>
      <c r="K23" s="28">
        <v>4.2</v>
      </c>
      <c r="L23" s="28">
        <v>4.4000000000000004</v>
      </c>
      <c r="M23" s="52">
        <v>2.2999999999999998</v>
      </c>
      <c r="N23" s="52">
        <v>1.8</v>
      </c>
      <c r="O23" s="49">
        <v>2.2999999999999998</v>
      </c>
      <c r="P23" s="49">
        <v>1.8</v>
      </c>
      <c r="Q23" s="49" t="s">
        <v>284</v>
      </c>
      <c r="R23" s="49" t="s">
        <v>286</v>
      </c>
      <c r="S23" s="25">
        <v>18.22</v>
      </c>
      <c r="T23" s="143">
        <f t="shared" si="2"/>
        <v>13.000000000000002</v>
      </c>
      <c r="U23" s="143">
        <f>IF((VLOOKUP(Q23,MogulsDD!$A$1:$C$1000,3,FALSE)*(M23+O23)/2)&gt;3.75,3.75,VLOOKUP(Q23,MogulsDD!$A$1:$C$1000,3,FALSE)*(M23+O23)/2)+IF((VLOOKUP(R23,MogulsDD!$A$1:$C$1000,3,FALSE)*(N23+P23)/2)&gt;3.75,3.75,VLOOKUP(R23,MogulsDD!$A$1:$C$1000,3,FALSE)*(N23+P23)/2)</f>
        <v>4.3770000000000007</v>
      </c>
      <c r="V23" s="143">
        <f t="shared" si="3"/>
        <v>5.5560614684120662</v>
      </c>
      <c r="W23" s="144">
        <f>(J23+K23+L23)+IF((VLOOKUP(Q23,MogulsDD!$A$1:$C$1000,3,FALSE)*(M23+O23)/2)&gt;3.75,3.75,VLOOKUP(Q23,MogulsDD!$A$1:$C$1000,3,FALSE)*(M23+O23)/2)+IF((VLOOKUP(R23,MogulsDD!$A$1:$C$1000,3,FALSE)*(N23+P23)/2)&gt;3.75,3.75,VLOOKUP(R23,MogulsDD!$A$1:$C$1000,3,FALSE)*(N23+P23)/2)+IF((18-12*S23/$J$5)&gt;7.5,7.5,IF((18-12*S23/$J$5)&lt;0,0,(18-12*S23/$J$5)))</f>
        <v>22.93306146841207</v>
      </c>
      <c r="X23" s="38"/>
      <c r="Y23" s="38"/>
      <c r="Z23" s="38"/>
      <c r="AA23" s="38"/>
      <c r="AB23" s="39"/>
      <c r="AC23" s="38"/>
      <c r="AD23" s="38"/>
      <c r="AE23" s="38"/>
      <c r="AF23" s="38"/>
      <c r="AG23" s="39"/>
      <c r="AH23" s="38"/>
      <c r="AI23" s="38"/>
      <c r="AJ23" s="38"/>
      <c r="AK23" s="38"/>
      <c r="AL23" s="39"/>
      <c r="AM23" s="44"/>
      <c r="AN23" s="39"/>
      <c r="AO23" s="37"/>
      <c r="AP23" s="37"/>
    </row>
    <row r="24" spans="1:42">
      <c r="A24" s="19">
        <f>RANK(W24,$W$22:$W$25,0)</f>
        <v>3</v>
      </c>
      <c r="B24" s="32">
        <v>81</v>
      </c>
      <c r="C24" s="22">
        <v>15</v>
      </c>
      <c r="D24" s="22" t="s">
        <v>205</v>
      </c>
      <c r="E24" s="22">
        <v>2530651</v>
      </c>
      <c r="F24" s="22" t="s">
        <v>206</v>
      </c>
      <c r="G24" s="22" t="s">
        <v>207</v>
      </c>
      <c r="H24" s="22" t="s">
        <v>243</v>
      </c>
      <c r="I24" s="23" t="s">
        <v>126</v>
      </c>
      <c r="J24" s="27">
        <v>3.8</v>
      </c>
      <c r="K24" s="28">
        <v>3.9</v>
      </c>
      <c r="L24" s="28">
        <v>3.8</v>
      </c>
      <c r="M24" s="52">
        <v>2.2000000000000002</v>
      </c>
      <c r="N24" s="52">
        <v>2.1</v>
      </c>
      <c r="O24" s="49">
        <v>2.2000000000000002</v>
      </c>
      <c r="P24" s="49">
        <v>2.2999999999999998</v>
      </c>
      <c r="Q24" s="49" t="s">
        <v>284</v>
      </c>
      <c r="R24" s="49" t="s">
        <v>297</v>
      </c>
      <c r="S24" s="25">
        <v>17.579999999999998</v>
      </c>
      <c r="T24" s="143">
        <f t="shared" si="2"/>
        <v>11.5</v>
      </c>
      <c r="U24" s="143">
        <f>IF((VLOOKUP(Q24,MogulsDD!$A$1:$C$1000,3,FALSE)*(M24+O24)/2)&gt;3.75,3.75,VLOOKUP(Q24,MogulsDD!$A$1:$C$1000,3,FALSE)*(M24+O24)/2)+IF((VLOOKUP(R24,MogulsDD!$A$1:$C$1000,3,FALSE)*(N24+P24)/2)&gt;3.75,3.75,VLOOKUP(R24,MogulsDD!$A$1:$C$1000,3,FALSE)*(N24+P24)/2)</f>
        <v>4.8840000000000003</v>
      </c>
      <c r="V24" s="143">
        <f t="shared" si="3"/>
        <v>5.9931701764371095</v>
      </c>
      <c r="W24" s="144">
        <f>(J24+K24+L24)+IF((VLOOKUP(Q24,MogulsDD!$A$1:$C$1000,3,FALSE)*(M24+O24)/2)&gt;3.75,3.75,VLOOKUP(Q24,MogulsDD!$A$1:$C$1000,3,FALSE)*(M24+O24)/2)+IF((VLOOKUP(R24,MogulsDD!$A$1:$C$1000,3,FALSE)*(N24+P24)/2)&gt;3.75,3.75,VLOOKUP(R24,MogulsDD!$A$1:$C$1000,3,FALSE)*(N24+P24)/2)+IF((18-12*S24/$J$5)&gt;7.5,7.5,IF((18-12*S24/$J$5)&lt;0,0,(18-12*S24/$J$5)))</f>
        <v>22.377170176437112</v>
      </c>
      <c r="X24" s="38"/>
      <c r="Y24" s="38"/>
      <c r="Z24" s="38"/>
      <c r="AA24" s="38"/>
      <c r="AB24" s="39"/>
      <c r="AC24" s="38"/>
      <c r="AD24" s="38"/>
      <c r="AE24" s="38"/>
      <c r="AF24" s="38"/>
      <c r="AG24" s="39"/>
      <c r="AH24" s="38"/>
      <c r="AI24" s="38"/>
      <c r="AJ24" s="38"/>
      <c r="AK24" s="38"/>
      <c r="AL24" s="39"/>
      <c r="AM24" s="44"/>
      <c r="AN24" s="39"/>
      <c r="AO24" s="37"/>
      <c r="AP24" s="37"/>
    </row>
    <row r="25" spans="1:42">
      <c r="A25" s="19">
        <f>RANK(W25,$W$22:$W$25,0)</f>
        <v>4</v>
      </c>
      <c r="B25" s="32">
        <v>49</v>
      </c>
      <c r="C25" s="22">
        <v>16</v>
      </c>
      <c r="D25" s="22" t="s">
        <v>170</v>
      </c>
      <c r="E25" s="22">
        <v>2529840</v>
      </c>
      <c r="F25" s="22" t="s">
        <v>164</v>
      </c>
      <c r="G25" s="22" t="s">
        <v>209</v>
      </c>
      <c r="H25" s="22" t="s">
        <v>171</v>
      </c>
      <c r="I25" s="23" t="s">
        <v>103</v>
      </c>
      <c r="J25" s="27">
        <v>4</v>
      </c>
      <c r="K25" s="28">
        <v>3.5</v>
      </c>
      <c r="L25" s="28">
        <v>3.8</v>
      </c>
      <c r="M25" s="52">
        <v>2.2999999999999998</v>
      </c>
      <c r="N25" s="52">
        <v>1.4</v>
      </c>
      <c r="O25" s="49">
        <v>2.2999999999999998</v>
      </c>
      <c r="P25" s="49">
        <v>1.5</v>
      </c>
      <c r="Q25" s="49" t="s">
        <v>284</v>
      </c>
      <c r="R25" s="49" t="s">
        <v>272</v>
      </c>
      <c r="S25" s="25">
        <v>18.78</v>
      </c>
      <c r="T25" s="143">
        <f t="shared" si="2"/>
        <v>11.3</v>
      </c>
      <c r="U25" s="143">
        <f>IF((VLOOKUP(Q25,MogulsDD!$A$1:$C$1000,3,FALSE)*(M25+O25)/2)&gt;3.75,3.75,VLOOKUP(Q25,MogulsDD!$A$1:$C$1000,3,FALSE)*(M25+O25)/2)+IF((VLOOKUP(R25,MogulsDD!$A$1:$C$1000,3,FALSE)*(N25+P25)/2)&gt;3.75,3.75,VLOOKUP(R25,MogulsDD!$A$1:$C$1000,3,FALSE)*(N25+P25)/2)</f>
        <v>4.01</v>
      </c>
      <c r="V25" s="143">
        <f t="shared" si="3"/>
        <v>5.1735913488901524</v>
      </c>
      <c r="W25" s="144">
        <f>(J25+K25+L25)+IF((VLOOKUP(Q25,MogulsDD!$A$1:$C$1000,3,FALSE)*(M25+O25)/2)&gt;3.75,3.75,VLOOKUP(Q25,MogulsDD!$A$1:$C$1000,3,FALSE)*(M25+O25)/2)+IF((VLOOKUP(R25,MogulsDD!$A$1:$C$1000,3,FALSE)*(N25+P25)/2)&gt;3.75,3.75,VLOOKUP(R25,MogulsDD!$A$1:$C$1000,3,FALSE)*(N25+P25)/2)+IF((18-12*S25/$J$5)&gt;7.5,7.5,IF((18-12*S25/$J$5)&lt;0,0,(18-12*S25/$J$5)))</f>
        <v>20.483591348890151</v>
      </c>
      <c r="X25" s="38"/>
      <c r="Y25" s="38"/>
      <c r="Z25" s="38"/>
      <c r="AA25" s="38"/>
      <c r="AB25" s="39"/>
      <c r="AC25" s="38"/>
      <c r="AD25" s="38"/>
      <c r="AE25" s="38"/>
      <c r="AF25" s="38"/>
      <c r="AG25" s="39"/>
      <c r="AH25" s="38"/>
      <c r="AI25" s="38"/>
      <c r="AJ25" s="38"/>
      <c r="AK25" s="38"/>
      <c r="AL25" s="39"/>
      <c r="AM25" s="44"/>
      <c r="AN25" s="39"/>
      <c r="AO25" s="37"/>
      <c r="AP25" s="37"/>
    </row>
    <row r="26" spans="1:42">
      <c r="A26" s="132">
        <v>5</v>
      </c>
      <c r="B26" s="133">
        <v>44</v>
      </c>
      <c r="C26" s="126">
        <v>9</v>
      </c>
      <c r="D26" s="126" t="s">
        <v>110</v>
      </c>
      <c r="E26" s="126">
        <v>2531950</v>
      </c>
      <c r="F26" s="126" t="s">
        <v>106</v>
      </c>
      <c r="G26" s="126" t="s">
        <v>122</v>
      </c>
      <c r="H26" s="126" t="s">
        <v>102</v>
      </c>
      <c r="I26" s="127" t="s">
        <v>103</v>
      </c>
      <c r="J26" s="130">
        <v>3.6</v>
      </c>
      <c r="K26" s="131">
        <v>3.4</v>
      </c>
      <c r="L26" s="131">
        <v>3.8</v>
      </c>
      <c r="M26" s="131">
        <v>1.5</v>
      </c>
      <c r="N26" s="131">
        <v>2.1</v>
      </c>
      <c r="O26" s="129">
        <v>1.9</v>
      </c>
      <c r="P26" s="129">
        <v>2.2000000000000002</v>
      </c>
      <c r="Q26" s="129" t="s">
        <v>61</v>
      </c>
      <c r="R26" s="129" t="s">
        <v>272</v>
      </c>
      <c r="S26" s="129">
        <v>18.649999999999999</v>
      </c>
      <c r="T26" s="145">
        <f t="shared" si="2"/>
        <v>10.8</v>
      </c>
      <c r="U26" s="145">
        <f>IF((VLOOKUP(Q26,MogulsDD!$A$1:$C$1000,3,FALSE)*(M26+O26)/2)&gt;3.75,3.75,VLOOKUP(Q26,MogulsDD!$A$1:$C$1000,3,FALSE)*(M26+O26)/2)+IF((VLOOKUP(R26,MogulsDD!$A$1:$C$1000,3,FALSE)*(N26+P26)/2)&gt;3.75,3.75,VLOOKUP(R26,MogulsDD!$A$1:$C$1000,3,FALSE)*(N26+P26)/2)</f>
        <v>4.1500000000000004</v>
      </c>
      <c r="V26" s="145">
        <f t="shared" si="3"/>
        <v>5.2623790552077416</v>
      </c>
      <c r="W26" s="146">
        <v>20.212379055207741</v>
      </c>
      <c r="X26" s="38"/>
      <c r="Y26" s="38"/>
      <c r="Z26" s="38"/>
      <c r="AA26" s="38"/>
      <c r="AB26" s="39"/>
      <c r="AC26" s="38"/>
      <c r="AD26" s="38"/>
      <c r="AE26" s="38"/>
      <c r="AF26" s="38"/>
      <c r="AG26" s="39"/>
      <c r="AH26" s="38"/>
      <c r="AI26" s="38"/>
      <c r="AJ26" s="38"/>
      <c r="AK26" s="38"/>
      <c r="AL26" s="39"/>
      <c r="AM26" s="44"/>
      <c r="AN26" s="39"/>
      <c r="AO26" s="37"/>
      <c r="AP26" s="37"/>
    </row>
    <row r="27" spans="1:42">
      <c r="A27" s="132">
        <v>6</v>
      </c>
      <c r="B27" s="133">
        <v>18</v>
      </c>
      <c r="C27" s="126">
        <v>21</v>
      </c>
      <c r="D27" s="126" t="s">
        <v>123</v>
      </c>
      <c r="E27" s="126">
        <v>2531086</v>
      </c>
      <c r="F27" s="126" t="s">
        <v>124</v>
      </c>
      <c r="G27" s="126" t="s">
        <v>122</v>
      </c>
      <c r="H27" s="126" t="s">
        <v>125</v>
      </c>
      <c r="I27" s="127" t="s">
        <v>126</v>
      </c>
      <c r="J27" s="130">
        <v>3</v>
      </c>
      <c r="K27" s="131">
        <v>3.1</v>
      </c>
      <c r="L27" s="131">
        <v>2.8</v>
      </c>
      <c r="M27" s="131">
        <v>1.4</v>
      </c>
      <c r="N27" s="131">
        <v>1.6</v>
      </c>
      <c r="O27" s="129">
        <v>1.5</v>
      </c>
      <c r="P27" s="129">
        <v>1.6</v>
      </c>
      <c r="Q27" s="129" t="s">
        <v>276</v>
      </c>
      <c r="R27" s="129" t="s">
        <v>286</v>
      </c>
      <c r="S27" s="129">
        <v>20.079999999999998</v>
      </c>
      <c r="T27" s="145">
        <f t="shared" si="2"/>
        <v>8.8999999999999986</v>
      </c>
      <c r="U27" s="145">
        <f>IF((VLOOKUP(Q27,MogulsDD!$A$1:$C$1000,3,FALSE)*(M27+O27)/2)&gt;3.75,3.75,VLOOKUP(Q27,MogulsDD!$A$1:$C$1000,3,FALSE)*(M27+O27)/2)+IF((VLOOKUP(R27,MogulsDD!$A$1:$C$1000,3,FALSE)*(N27+P27)/2)&gt;3.75,3.75,VLOOKUP(R27,MogulsDD!$A$1:$C$1000,3,FALSE)*(N27+P27)/2)</f>
        <v>3.2665000000000002</v>
      </c>
      <c r="V27" s="145">
        <f t="shared" si="3"/>
        <v>4.2857142857142865</v>
      </c>
      <c r="W27" s="146">
        <v>16.452214285714284</v>
      </c>
      <c r="X27" s="38"/>
      <c r="Y27" s="38"/>
      <c r="Z27" s="38"/>
      <c r="AA27" s="38"/>
      <c r="AB27" s="39"/>
      <c r="AC27" s="38"/>
      <c r="AD27" s="38"/>
      <c r="AE27" s="38"/>
      <c r="AF27" s="38"/>
      <c r="AG27" s="39"/>
      <c r="AH27" s="38"/>
      <c r="AI27" s="38"/>
      <c r="AJ27" s="38"/>
      <c r="AK27" s="38"/>
      <c r="AL27" s="39"/>
      <c r="AM27" s="44"/>
      <c r="AN27" s="39"/>
      <c r="AO27" s="37"/>
      <c r="AP27" s="37"/>
    </row>
    <row r="28" spans="1:42" ht="13.8" thickBot="1">
      <c r="A28" s="132">
        <v>7</v>
      </c>
      <c r="B28" s="134">
        <v>3</v>
      </c>
      <c r="C28" s="126">
        <v>19</v>
      </c>
      <c r="D28" s="135" t="s">
        <v>156</v>
      </c>
      <c r="E28" s="126">
        <v>2532116</v>
      </c>
      <c r="F28" s="135" t="s">
        <v>157</v>
      </c>
      <c r="G28" s="135" t="s">
        <v>122</v>
      </c>
      <c r="H28" s="135" t="s">
        <v>158</v>
      </c>
      <c r="I28" s="136" t="s">
        <v>128</v>
      </c>
      <c r="J28" s="137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29" t="s">
        <v>63</v>
      </c>
      <c r="R28" s="129" t="s">
        <v>63</v>
      </c>
      <c r="S28" s="129">
        <v>9999</v>
      </c>
      <c r="T28" s="145">
        <f t="shared" si="2"/>
        <v>0</v>
      </c>
      <c r="U28" s="145">
        <f>IF((VLOOKUP(Q28,MogulsDD!$A$1:$C$1000,3,FALSE)*(M28+O28)/2)&gt;3.75,3.75,VLOOKUP(Q28,MogulsDD!$A$1:$C$1000,3,FALSE)*(M28+O28)/2)+IF((VLOOKUP(R28,MogulsDD!$A$1:$C$1000,3,FALSE)*(N28+P28)/2)&gt;3.75,3.75,VLOOKUP(R28,MogulsDD!$A$1:$C$1000,3,FALSE)*(N28+P28)/2)</f>
        <v>0</v>
      </c>
      <c r="V28" s="145">
        <f t="shared" si="3"/>
        <v>0</v>
      </c>
      <c r="W28" s="146">
        <v>0</v>
      </c>
      <c r="X28" s="38"/>
      <c r="Y28" s="38"/>
      <c r="Z28" s="38"/>
      <c r="AA28" s="38"/>
      <c r="AB28" s="39"/>
      <c r="AC28" s="38"/>
      <c r="AD28" s="38"/>
      <c r="AE28" s="38"/>
      <c r="AF28" s="38"/>
      <c r="AG28" s="39"/>
      <c r="AH28" s="38"/>
      <c r="AI28" s="38"/>
      <c r="AJ28" s="38"/>
      <c r="AK28" s="38"/>
      <c r="AL28" s="39"/>
      <c r="AM28" s="44"/>
      <c r="AN28" s="39"/>
      <c r="AO28" s="37"/>
      <c r="AP28" s="37"/>
    </row>
    <row r="29" spans="1:42">
      <c r="A29" s="112">
        <v>8</v>
      </c>
      <c r="B29" s="119">
        <v>109</v>
      </c>
      <c r="C29" s="113">
        <v>10</v>
      </c>
      <c r="D29" s="120" t="s">
        <v>199</v>
      </c>
      <c r="E29" s="113">
        <v>2528447</v>
      </c>
      <c r="F29" s="120" t="s">
        <v>200</v>
      </c>
      <c r="G29" s="120" t="s">
        <v>122</v>
      </c>
      <c r="H29" s="120" t="s">
        <v>201</v>
      </c>
      <c r="I29" s="121" t="s">
        <v>202</v>
      </c>
      <c r="J29" s="122">
        <v>2.2000000000000002</v>
      </c>
      <c r="K29" s="123">
        <v>2.5</v>
      </c>
      <c r="L29" s="123">
        <v>2.2000000000000002</v>
      </c>
      <c r="M29" s="123">
        <v>1.5</v>
      </c>
      <c r="N29" s="123">
        <v>1.3</v>
      </c>
      <c r="O29" s="123">
        <v>1.2</v>
      </c>
      <c r="P29" s="123">
        <v>1.3</v>
      </c>
      <c r="Q29" s="118" t="s">
        <v>276</v>
      </c>
      <c r="R29" s="118" t="s">
        <v>28</v>
      </c>
      <c r="S29" s="118">
        <v>21.11</v>
      </c>
      <c r="T29" s="147">
        <f t="shared" si="2"/>
        <v>6.9</v>
      </c>
      <c r="U29" s="147">
        <f>IF((VLOOKUP(Q29,MogulsDD!$A$1:$C$1000,3,FALSE)*(M29+O29)/2)&gt;3.75,3.75,VLOOKUP(Q29,MogulsDD!$A$1:$C$1000,3,FALSE)*(M29+O29)/2)+IF((VLOOKUP(R29,MogulsDD!$A$1:$C$1000,3,FALSE)*(N29+P29)/2)&gt;3.75,3.75,VLOOKUP(R29,MogulsDD!$A$1:$C$1000,3,FALSE)*(N29+P29)/2)</f>
        <v>2.8864999999999998</v>
      </c>
      <c r="V29" s="147">
        <f t="shared" si="3"/>
        <v>3.5822424587364825</v>
      </c>
      <c r="W29" s="148">
        <v>13.368742458736483</v>
      </c>
      <c r="X29" s="38"/>
      <c r="Y29" s="38"/>
      <c r="Z29" s="38"/>
      <c r="AA29" s="38"/>
      <c r="AB29" s="39"/>
      <c r="AC29" s="38"/>
      <c r="AD29" s="38"/>
      <c r="AE29" s="38"/>
      <c r="AF29" s="38"/>
      <c r="AG29" s="39"/>
      <c r="AH29" s="38"/>
      <c r="AI29" s="38"/>
      <c r="AJ29" s="38"/>
      <c r="AK29" s="38"/>
      <c r="AL29" s="39"/>
      <c r="AM29" s="44"/>
      <c r="AN29" s="39"/>
      <c r="AO29" s="37"/>
      <c r="AP29" s="37"/>
    </row>
    <row r="30" spans="1:42">
      <c r="A30" s="112">
        <v>9</v>
      </c>
      <c r="B30" s="124">
        <v>104</v>
      </c>
      <c r="C30" s="113">
        <v>3</v>
      </c>
      <c r="D30" s="113" t="s">
        <v>112</v>
      </c>
      <c r="E30" s="113">
        <v>2530279</v>
      </c>
      <c r="F30" s="113" t="s">
        <v>113</v>
      </c>
      <c r="G30" s="113" t="s">
        <v>122</v>
      </c>
      <c r="H30" s="113" t="s">
        <v>114</v>
      </c>
      <c r="I30" s="115" t="s">
        <v>115</v>
      </c>
      <c r="J30" s="125">
        <v>1.3</v>
      </c>
      <c r="K30" s="117">
        <v>1.6</v>
      </c>
      <c r="L30" s="117">
        <v>1</v>
      </c>
      <c r="M30" s="117">
        <v>1.4</v>
      </c>
      <c r="N30" s="117">
        <v>0.1</v>
      </c>
      <c r="O30" s="118">
        <v>1.8</v>
      </c>
      <c r="P30" s="118">
        <v>0.1</v>
      </c>
      <c r="Q30" s="118" t="s">
        <v>61</v>
      </c>
      <c r="R30" s="118" t="s">
        <v>286</v>
      </c>
      <c r="S30" s="118">
        <v>22.77</v>
      </c>
      <c r="T30" s="147">
        <f t="shared" si="2"/>
        <v>3.9000000000000004</v>
      </c>
      <c r="U30" s="147">
        <f>IF((VLOOKUP(Q30,MogulsDD!$A$1:$C$1000,3,FALSE)*(M30+O30)/2)&gt;3.75,3.75,VLOOKUP(Q30,MogulsDD!$A$1:$C$1000,3,FALSE)*(M30+O30)/2)+IF((VLOOKUP(R30,MogulsDD!$A$1:$C$1000,3,FALSE)*(N30+P30)/2)&gt;3.75,3.75,VLOOKUP(R30,MogulsDD!$A$1:$C$1000,3,FALSE)*(N30+P30)/2)</f>
        <v>1.7890000000000001</v>
      </c>
      <c r="V30" s="147">
        <f t="shared" si="3"/>
        <v>2.4484917472965275</v>
      </c>
      <c r="W30" s="148">
        <v>8.1374917472965276</v>
      </c>
      <c r="X30" s="38"/>
      <c r="Y30" s="38"/>
      <c r="Z30" s="38"/>
      <c r="AA30" s="38"/>
      <c r="AB30" s="39"/>
      <c r="AC30" s="38"/>
      <c r="AD30" s="38"/>
      <c r="AE30" s="38"/>
      <c r="AF30" s="38"/>
      <c r="AG30" s="39"/>
      <c r="AH30" s="38"/>
      <c r="AI30" s="38"/>
      <c r="AJ30" s="38"/>
      <c r="AK30" s="38"/>
      <c r="AL30" s="39"/>
      <c r="AM30" s="44"/>
      <c r="AN30" s="39"/>
      <c r="AO30" s="37"/>
      <c r="AP30" s="37"/>
    </row>
    <row r="31" spans="1:42"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7"/>
      <c r="AP31" s="37"/>
    </row>
    <row r="32" spans="1:42"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7"/>
      <c r="AP32" s="37"/>
    </row>
    <row r="33" spans="24:42"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7"/>
      <c r="AP33" s="37"/>
    </row>
    <row r="34" spans="24:42"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7"/>
      <c r="AP34" s="37"/>
    </row>
    <row r="35" spans="24:42"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7"/>
      <c r="AP35" s="37"/>
    </row>
    <row r="36" spans="24:42"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7"/>
      <c r="AP36" s="37"/>
    </row>
    <row r="37" spans="24:42"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7"/>
      <c r="AP37" s="37"/>
    </row>
    <row r="38" spans="24:42"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7"/>
      <c r="AP38" s="37"/>
    </row>
    <row r="39" spans="24:42"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7"/>
      <c r="AP39" s="37"/>
    </row>
    <row r="40" spans="24:42"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7"/>
      <c r="AP40" s="37"/>
    </row>
    <row r="41" spans="24:42"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7"/>
      <c r="AP41" s="37"/>
    </row>
    <row r="42" spans="24:42"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7"/>
      <c r="AP42" s="37"/>
    </row>
    <row r="43" spans="24:42"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7"/>
      <c r="AP43" s="37"/>
    </row>
    <row r="44" spans="24:42"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7"/>
      <c r="AP44" s="37"/>
    </row>
    <row r="45" spans="24:42"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7"/>
      <c r="AP45" s="37"/>
    </row>
    <row r="46" spans="24:42"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7"/>
      <c r="AP46" s="37"/>
    </row>
    <row r="47" spans="24:42"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7"/>
      <c r="AP47" s="37"/>
    </row>
    <row r="48" spans="24:42"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7"/>
      <c r="AP48" s="37"/>
    </row>
    <row r="49" spans="24:42"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7"/>
      <c r="AP49" s="37"/>
    </row>
    <row r="50" spans="24:42"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7"/>
      <c r="AP50" s="37"/>
    </row>
    <row r="51" spans="24:42"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</row>
    <row r="52" spans="24:42"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</row>
    <row r="53" spans="24:42"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</row>
    <row r="54" spans="24:42"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</row>
    <row r="55" spans="24:42"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</row>
    <row r="56" spans="24:42"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</row>
    <row r="57" spans="24:42"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</row>
    <row r="58" spans="24:42"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</row>
    <row r="59" spans="24:42"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</row>
    <row r="60" spans="24:42"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</row>
    <row r="61" spans="24:42"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</row>
    <row r="62" spans="24:42"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</row>
    <row r="63" spans="24:42"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</row>
    <row r="64" spans="24:42"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</row>
    <row r="65" spans="24:42"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</row>
    <row r="66" spans="24:42"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</row>
    <row r="67" spans="24:42"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</row>
    <row r="68" spans="24:42"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</row>
    <row r="69" spans="24:42"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</row>
    <row r="70" spans="24:42"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</row>
    <row r="71" spans="24:42"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</row>
    <row r="72" spans="24:42"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</row>
  </sheetData>
  <mergeCells count="12">
    <mergeCell ref="A7:B7"/>
    <mergeCell ref="C7:F7"/>
    <mergeCell ref="A8:B8"/>
    <mergeCell ref="C8:F8"/>
    <mergeCell ref="A9:B9"/>
    <mergeCell ref="C9:F9"/>
    <mergeCell ref="A1:I1"/>
    <mergeCell ref="A2:I2"/>
    <mergeCell ref="A5:B5"/>
    <mergeCell ref="C5:F5"/>
    <mergeCell ref="A6:B6"/>
    <mergeCell ref="C6:F6"/>
  </mergeCells>
  <hyperlinks>
    <hyperlink ref="J2" r:id="rId1" display="http://data.fis-ski.com/dynamic/event-details.html?event_id=36203&amp;cal_suchsector=FS"/>
    <hyperlink ref="L2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P91"/>
  <sheetViews>
    <sheetView topLeftCell="B8" workbookViewId="0">
      <selection activeCell="E44" sqref="E44"/>
    </sheetView>
  </sheetViews>
  <sheetFormatPr defaultColWidth="11.44140625" defaultRowHeight="13.2"/>
  <cols>
    <col min="2" max="2" width="8.109375" customWidth="1"/>
    <col min="3" max="3" width="7.44140625" customWidth="1"/>
    <col min="4" max="4" width="22" customWidth="1"/>
    <col min="5" max="5" width="18.44140625" customWidth="1"/>
    <col min="6" max="6" width="11.109375" customWidth="1"/>
    <col min="8" max="8" width="10.88671875" customWidth="1"/>
  </cols>
  <sheetData>
    <row r="1" spans="1:42" ht="24.6">
      <c r="A1" s="159"/>
      <c r="B1" s="159"/>
      <c r="C1" s="159"/>
      <c r="D1" s="159"/>
      <c r="E1" s="159"/>
      <c r="F1" s="159"/>
      <c r="G1" s="159"/>
      <c r="H1" s="159"/>
      <c r="I1" s="15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2" ht="17.399999999999999">
      <c r="A2" s="160" t="s">
        <v>259</v>
      </c>
      <c r="B2" s="160"/>
      <c r="C2" s="160"/>
      <c r="D2" s="160"/>
      <c r="E2" s="160"/>
      <c r="F2" s="160"/>
      <c r="G2" s="160"/>
      <c r="H2" s="160"/>
      <c r="I2" s="16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42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42" ht="13.8" thickBot="1">
      <c r="A4" s="7"/>
      <c r="B4" s="1"/>
      <c r="C4" s="1"/>
      <c r="D4" s="1"/>
      <c r="E4" s="1"/>
      <c r="F4" s="1"/>
      <c r="G4" s="1"/>
      <c r="H4" s="1"/>
      <c r="I4" s="1"/>
      <c r="J4" s="1" t="s">
        <v>152</v>
      </c>
      <c r="K4" s="1" t="s">
        <v>151</v>
      </c>
      <c r="L4" s="1"/>
      <c r="M4" s="1" t="s">
        <v>11</v>
      </c>
      <c r="N4" s="1" t="s">
        <v>219</v>
      </c>
      <c r="O4" s="1"/>
      <c r="P4" s="1" t="s">
        <v>216</v>
      </c>
      <c r="Q4" s="1" t="s">
        <v>224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42">
      <c r="A5" s="161" t="s">
        <v>6</v>
      </c>
      <c r="B5" s="162"/>
      <c r="C5" s="163" t="s">
        <v>218</v>
      </c>
      <c r="D5" s="164"/>
      <c r="E5" s="164"/>
      <c r="F5" s="165"/>
      <c r="G5" s="1"/>
      <c r="H5" s="1"/>
      <c r="I5" s="36" t="s">
        <v>69</v>
      </c>
      <c r="J5" s="7">
        <v>17.57</v>
      </c>
      <c r="K5" s="7">
        <v>23.43</v>
      </c>
      <c r="L5" s="1"/>
      <c r="M5" s="1" t="s">
        <v>12</v>
      </c>
      <c r="N5" s="1" t="s">
        <v>220</v>
      </c>
      <c r="O5" s="1"/>
      <c r="P5" s="1" t="s">
        <v>217</v>
      </c>
      <c r="Q5" s="1" t="s">
        <v>222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42">
      <c r="A6" s="149" t="s">
        <v>7</v>
      </c>
      <c r="B6" s="150"/>
      <c r="C6" s="151" t="s">
        <v>258</v>
      </c>
      <c r="D6" s="152"/>
      <c r="E6" s="152"/>
      <c r="F6" s="153"/>
      <c r="G6" s="1"/>
      <c r="H6" s="1"/>
      <c r="I6" s="1"/>
      <c r="J6" s="1"/>
      <c r="K6" s="1"/>
      <c r="L6" s="1"/>
      <c r="M6" s="1" t="s">
        <v>15</v>
      </c>
      <c r="N6" s="1" t="s">
        <v>221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42">
      <c r="A7" s="149" t="s">
        <v>8</v>
      </c>
      <c r="B7" s="150"/>
      <c r="C7" s="151" t="s">
        <v>242</v>
      </c>
      <c r="D7" s="152"/>
      <c r="E7" s="152"/>
      <c r="F7" s="153"/>
      <c r="G7" s="1"/>
      <c r="H7" s="1"/>
      <c r="I7" s="1"/>
      <c r="J7" s="1"/>
      <c r="K7" s="1"/>
      <c r="L7" s="1"/>
      <c r="M7" s="1" t="s">
        <v>214</v>
      </c>
      <c r="N7" s="1" t="s">
        <v>222</v>
      </c>
      <c r="O7" s="1"/>
      <c r="P7" s="1" t="s">
        <v>225</v>
      </c>
      <c r="Q7" s="1" t="s">
        <v>226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42">
      <c r="A8" s="149" t="s">
        <v>9</v>
      </c>
      <c r="B8" s="150"/>
      <c r="C8" s="151" t="s">
        <v>104</v>
      </c>
      <c r="D8" s="152"/>
      <c r="E8" s="152"/>
      <c r="F8" s="153"/>
      <c r="G8" s="1"/>
      <c r="H8" s="1"/>
      <c r="I8" s="1"/>
      <c r="J8" s="1"/>
      <c r="K8" s="1"/>
      <c r="L8" s="1"/>
      <c r="M8" s="1" t="s">
        <v>215</v>
      </c>
      <c r="N8" s="1" t="s">
        <v>223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42" ht="13.8" thickBot="1">
      <c r="A9" s="154" t="s">
        <v>10</v>
      </c>
      <c r="B9" s="155"/>
      <c r="C9" s="156" t="s">
        <v>105</v>
      </c>
      <c r="D9" s="157"/>
      <c r="E9" s="157"/>
      <c r="F9" s="15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37"/>
      <c r="AO9" s="37"/>
      <c r="AP9" s="37"/>
    </row>
    <row r="10" spans="1:42" ht="13.8" thickBot="1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9"/>
      <c r="AO10" s="37"/>
      <c r="AP10" s="37"/>
    </row>
    <row r="11" spans="1:42" ht="13.8" thickBot="1">
      <c r="A11" s="8"/>
      <c r="B11" s="5"/>
      <c r="C11" s="5"/>
      <c r="D11" s="5"/>
      <c r="E11" s="20" t="s">
        <v>260</v>
      </c>
      <c r="F11" s="5"/>
      <c r="G11" s="5"/>
      <c r="H11" s="5"/>
      <c r="I11" s="6"/>
      <c r="J11" s="21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45"/>
      <c r="X11" s="38"/>
      <c r="Y11" s="38"/>
      <c r="Z11" s="38"/>
      <c r="AA11" s="38"/>
      <c r="AB11" s="38"/>
      <c r="AC11" s="38"/>
      <c r="AD11" s="38"/>
      <c r="AE11" s="38"/>
      <c r="AF11" s="38"/>
      <c r="AG11" s="40"/>
      <c r="AH11" s="38"/>
      <c r="AI11" s="38"/>
      <c r="AJ11" s="38"/>
      <c r="AK11" s="38"/>
      <c r="AL11" s="40"/>
      <c r="AM11" s="38"/>
      <c r="AN11" s="39"/>
      <c r="AO11" s="37"/>
      <c r="AP11" s="37"/>
    </row>
    <row r="12" spans="1:42" ht="13.8" thickBot="1">
      <c r="A12" s="2" t="s">
        <v>0</v>
      </c>
      <c r="B12" s="3" t="s">
        <v>1</v>
      </c>
      <c r="C12" s="3" t="s">
        <v>252</v>
      </c>
      <c r="D12" s="3" t="s">
        <v>111</v>
      </c>
      <c r="E12" s="3" t="s">
        <v>238</v>
      </c>
      <c r="F12" s="3" t="s">
        <v>16</v>
      </c>
      <c r="G12" s="3" t="s">
        <v>3</v>
      </c>
      <c r="H12" s="3" t="s">
        <v>4</v>
      </c>
      <c r="I12" s="4" t="s">
        <v>5</v>
      </c>
      <c r="J12" s="2" t="s">
        <v>11</v>
      </c>
      <c r="K12" s="3" t="s">
        <v>12</v>
      </c>
      <c r="L12" s="3" t="s">
        <v>13</v>
      </c>
      <c r="M12" s="3" t="s">
        <v>66</v>
      </c>
      <c r="N12" s="3" t="s">
        <v>65</v>
      </c>
      <c r="O12" s="3" t="s">
        <v>67</v>
      </c>
      <c r="P12" s="3" t="s">
        <v>68</v>
      </c>
      <c r="Q12" s="3" t="s">
        <v>59</v>
      </c>
      <c r="R12" s="3" t="s">
        <v>60</v>
      </c>
      <c r="S12" s="3" t="s">
        <v>22</v>
      </c>
      <c r="T12" s="3" t="s">
        <v>314</v>
      </c>
      <c r="U12" s="3" t="s">
        <v>315</v>
      </c>
      <c r="V12" s="3" t="s">
        <v>316</v>
      </c>
      <c r="W12" s="46" t="s">
        <v>14</v>
      </c>
      <c r="X12" s="41"/>
      <c r="Y12" s="41"/>
      <c r="Z12" s="41"/>
      <c r="AA12" s="41"/>
      <c r="AB12" s="42"/>
      <c r="AC12" s="41"/>
      <c r="AD12" s="41"/>
      <c r="AE12" s="41"/>
      <c r="AF12" s="41"/>
      <c r="AG12" s="42"/>
      <c r="AH12" s="41"/>
      <c r="AI12" s="41"/>
      <c r="AJ12" s="41"/>
      <c r="AK12" s="41"/>
      <c r="AL12" s="42"/>
      <c r="AM12" s="43"/>
      <c r="AN12" s="39"/>
      <c r="AO12" s="37"/>
      <c r="AP12" s="37"/>
    </row>
    <row r="13" spans="1:42">
      <c r="A13" s="19">
        <f t="shared" ref="A13:A26" si="0">RANK(W13,$W$13:$W$26,0)</f>
        <v>1</v>
      </c>
      <c r="B13" s="32">
        <v>134</v>
      </c>
      <c r="C13" s="22">
        <v>14</v>
      </c>
      <c r="D13" s="22" t="s">
        <v>236</v>
      </c>
      <c r="E13" s="22">
        <v>2528719</v>
      </c>
      <c r="F13" s="22"/>
      <c r="G13" s="22" t="s">
        <v>240</v>
      </c>
      <c r="H13" s="22" t="s">
        <v>251</v>
      </c>
      <c r="I13" s="23"/>
      <c r="J13" s="24">
        <v>3.5</v>
      </c>
      <c r="K13" s="25">
        <v>3.4</v>
      </c>
      <c r="L13" s="25">
        <v>3.4</v>
      </c>
      <c r="M13" s="51">
        <v>2</v>
      </c>
      <c r="N13" s="51">
        <v>1.9</v>
      </c>
      <c r="O13" s="49">
        <v>2</v>
      </c>
      <c r="P13" s="49">
        <v>2</v>
      </c>
      <c r="Q13" s="49" t="s">
        <v>273</v>
      </c>
      <c r="R13" s="49" t="s">
        <v>61</v>
      </c>
      <c r="S13" s="25">
        <v>20.71</v>
      </c>
      <c r="T13" s="143">
        <f>(J13+K13+L13)</f>
        <v>10.3</v>
      </c>
      <c r="U13" s="143">
        <f>IF((VLOOKUP(Q13,MogulsDD!$A$1:$D$1000,4,FALSE)*(M13+O13)/2)&gt;3.75,3.75,VLOOKUP(Q13,MogulsDD!$A$1:$D$1000,4,FALSE)*(M13+O13)/2)+IF((VLOOKUP(R13,MogulsDD!$A$1:$D$1000,4,FALSE)*(N13+P13)/2)&gt;3.75,3.75,VLOOKUP(R13,MogulsDD!$A$1:$D$1000,4,FALSE)*(N13+P13)/2)</f>
        <v>4.1399999999999997</v>
      </c>
      <c r="V13" s="143">
        <f>IF((18-12*S13/$K$5)&gt;7.5,7.5,IF((18-12*S13/$K$5)&lt;0,0,(18-12*S13/$K$5)))</f>
        <v>7.3930857874519837</v>
      </c>
      <c r="W13" s="144">
        <f>(J13+K13+L13)+IF((VLOOKUP(Q13,MogulsDD!$A$1:$D$1000,4,FALSE)*(M13+O13)/2)&gt;3.75,3.75,VLOOKUP(Q13,MogulsDD!$A$1:$D$1000,4,FALSE)*(M13+O13)/2)+IF((VLOOKUP(R13,MogulsDD!$A$1:$D$1000,4,FALSE)*(N13+P13)/2)&gt;3.75,3.75,VLOOKUP(R13,MogulsDD!$A$1:$D$1000,4,FALSE)*(N13+P13)/2)+IF((18-12*S13/$K$5)&gt;7.5,7.5,IF((18-12*S13/$K$5)&lt;0,0,(18-12*S13/$K$5)))</f>
        <v>21.833085787451985</v>
      </c>
      <c r="X13" s="38"/>
      <c r="Y13" s="38"/>
      <c r="Z13" s="38"/>
      <c r="AA13" s="38"/>
      <c r="AB13" s="39"/>
      <c r="AC13" s="38"/>
      <c r="AD13" s="38"/>
      <c r="AE13" s="38"/>
      <c r="AF13" s="38"/>
      <c r="AG13" s="39"/>
      <c r="AH13" s="38"/>
      <c r="AI13" s="38"/>
      <c r="AJ13" s="38"/>
      <c r="AK13" s="38"/>
      <c r="AL13" s="39"/>
      <c r="AM13" s="44"/>
      <c r="AN13" s="39"/>
      <c r="AO13" s="37"/>
      <c r="AP13" s="37"/>
    </row>
    <row r="14" spans="1:42">
      <c r="A14" s="19">
        <f t="shared" si="0"/>
        <v>2</v>
      </c>
      <c r="B14" s="32">
        <v>38</v>
      </c>
      <c r="C14" s="22">
        <v>2</v>
      </c>
      <c r="D14" s="22" t="s">
        <v>179</v>
      </c>
      <c r="E14" s="22">
        <v>2530095</v>
      </c>
      <c r="F14" s="22" t="s">
        <v>173</v>
      </c>
      <c r="G14" s="22" t="s">
        <v>239</v>
      </c>
      <c r="H14" s="22" t="s">
        <v>180</v>
      </c>
      <c r="I14" s="23" t="s">
        <v>181</v>
      </c>
      <c r="J14" s="27">
        <v>3.8</v>
      </c>
      <c r="K14" s="28">
        <v>3.7</v>
      </c>
      <c r="L14" s="28">
        <v>3.8</v>
      </c>
      <c r="M14" s="52">
        <v>1.9</v>
      </c>
      <c r="N14" s="52">
        <v>1.9</v>
      </c>
      <c r="O14" s="49">
        <v>1.7</v>
      </c>
      <c r="P14" s="49">
        <v>1.8</v>
      </c>
      <c r="Q14" s="49" t="s">
        <v>273</v>
      </c>
      <c r="R14" s="49" t="s">
        <v>279</v>
      </c>
      <c r="S14" s="25">
        <v>19.87</v>
      </c>
      <c r="T14" s="143">
        <f t="shared" ref="T14:T26" si="1">(J14+K14+L14)</f>
        <v>11.3</v>
      </c>
      <c r="U14" s="143">
        <f>IF((VLOOKUP(Q14,MogulsDD!$A$1:$D$1000,4,FALSE)*(M14+O14)/2)&gt;3.75,3.75,VLOOKUP(Q14,MogulsDD!$A$1:$D$1000,4,FALSE)*(M14+O14)/2)+IF((VLOOKUP(R14,MogulsDD!$A$1:$D$1000,4,FALSE)*(N14+P14)/2)&gt;3.75,3.75,VLOOKUP(R14,MogulsDD!$A$1:$D$1000,4,FALSE)*(N14+P14)/2)</f>
        <v>3.0259999999999998</v>
      </c>
      <c r="V14" s="143">
        <f t="shared" ref="V14:V26" si="2">IF((18-12*S14/$K$5)&gt;7.5,7.5,IF((18-12*S14/$K$5)&lt;0,0,(18-12*S14/$K$5)))</f>
        <v>7.5</v>
      </c>
      <c r="W14" s="144">
        <f>(J14+K14+L14)+IF((VLOOKUP(Q14,MogulsDD!$A$1:$D$1000,4,FALSE)*(M14+O14)/2)&gt;3.75,3.75,VLOOKUP(Q14,MogulsDD!$A$1:$D$1000,4,FALSE)*(M14+O14)/2)+IF((VLOOKUP(R14,MogulsDD!$A$1:$D$1000,4,FALSE)*(N14+P14)/2)&gt;3.75,3.75,VLOOKUP(R14,MogulsDD!$A$1:$D$1000,4,FALSE)*(N14+P14)/2)+IF((18-12*S14/$K$5)&gt;7.5,7.5,IF((18-12*S14/$K$5)&lt;0,0,(18-12*S14/$K$5)))</f>
        <v>21.826000000000001</v>
      </c>
      <c r="X14" s="38"/>
      <c r="Y14" s="38"/>
      <c r="Z14" s="38"/>
      <c r="AA14" s="38"/>
      <c r="AB14" s="39"/>
      <c r="AC14" s="38"/>
      <c r="AD14" s="38"/>
      <c r="AE14" s="38"/>
      <c r="AF14" s="38"/>
      <c r="AG14" s="39"/>
      <c r="AH14" s="38"/>
      <c r="AI14" s="38"/>
      <c r="AJ14" s="38"/>
      <c r="AK14" s="38"/>
      <c r="AL14" s="39"/>
      <c r="AM14" s="44"/>
      <c r="AN14" s="39"/>
      <c r="AO14" s="37"/>
      <c r="AP14" s="37"/>
    </row>
    <row r="15" spans="1:42">
      <c r="A15" s="19">
        <f t="shared" si="0"/>
        <v>3</v>
      </c>
      <c r="B15" s="32">
        <v>61</v>
      </c>
      <c r="C15" s="22">
        <v>7</v>
      </c>
      <c r="D15" s="22" t="s">
        <v>176</v>
      </c>
      <c r="E15" s="22">
        <v>2531087</v>
      </c>
      <c r="F15" s="22" t="s">
        <v>173</v>
      </c>
      <c r="G15" s="22" t="s">
        <v>239</v>
      </c>
      <c r="H15" s="22" t="s">
        <v>177</v>
      </c>
      <c r="I15" s="23" t="s">
        <v>178</v>
      </c>
      <c r="J15" s="27">
        <v>3.8</v>
      </c>
      <c r="K15" s="28">
        <v>3.7</v>
      </c>
      <c r="L15" s="28">
        <v>3.4</v>
      </c>
      <c r="M15" s="52">
        <v>1.8</v>
      </c>
      <c r="N15" s="52">
        <v>1.7</v>
      </c>
      <c r="O15" s="49">
        <v>1.8</v>
      </c>
      <c r="P15" s="49">
        <v>1.9</v>
      </c>
      <c r="Q15" s="49" t="s">
        <v>275</v>
      </c>
      <c r="R15" s="49" t="s">
        <v>279</v>
      </c>
      <c r="S15" s="25">
        <v>20.28</v>
      </c>
      <c r="T15" s="143">
        <f t="shared" si="1"/>
        <v>10.9</v>
      </c>
      <c r="U15" s="143">
        <f>IF((VLOOKUP(Q15,MogulsDD!$A$1:$D$1000,4,FALSE)*(M15+O15)/2)&gt;3.75,3.75,VLOOKUP(Q15,MogulsDD!$A$1:$D$1000,4,FALSE)*(M15+O15)/2)+IF((VLOOKUP(R15,MogulsDD!$A$1:$D$1000,4,FALSE)*(N15+P15)/2)&gt;3.75,3.75,VLOOKUP(R15,MogulsDD!$A$1:$D$1000,4,FALSE)*(N15+P15)/2)</f>
        <v>3.0599999999999996</v>
      </c>
      <c r="V15" s="143">
        <f t="shared" si="2"/>
        <v>7.5</v>
      </c>
      <c r="W15" s="144">
        <f>(J15+K15+L15)+IF((VLOOKUP(Q15,MogulsDD!$A$1:$D$1000,4,FALSE)*(M15+O15)/2)&gt;3.75,3.75,VLOOKUP(Q15,MogulsDD!$A$1:$D$1000,4,FALSE)*(M15+O15)/2)+IF((VLOOKUP(R15,MogulsDD!$A$1:$D$1000,4,FALSE)*(N15+P15)/2)&gt;3.75,3.75,VLOOKUP(R15,MogulsDD!$A$1:$D$1000,4,FALSE)*(N15+P15)/2)+IF((18-12*S15/$K$5)&gt;7.5,7.5,IF((18-12*S15/$K$5)&lt;0,0,(18-12*S15/$K$5)))</f>
        <v>21.46</v>
      </c>
      <c r="X15" s="38"/>
      <c r="Y15" s="38"/>
      <c r="Z15" s="38"/>
      <c r="AA15" s="38"/>
      <c r="AB15" s="39"/>
      <c r="AC15" s="38"/>
      <c r="AD15" s="38"/>
      <c r="AE15" s="38"/>
      <c r="AF15" s="38"/>
      <c r="AG15" s="39"/>
      <c r="AH15" s="38"/>
      <c r="AI15" s="38"/>
      <c r="AJ15" s="38"/>
      <c r="AK15" s="38"/>
      <c r="AL15" s="39"/>
      <c r="AM15" s="44"/>
      <c r="AN15" s="39"/>
      <c r="AO15" s="37"/>
      <c r="AP15" s="37"/>
    </row>
    <row r="16" spans="1:42">
      <c r="A16" s="19">
        <f t="shared" si="0"/>
        <v>4</v>
      </c>
      <c r="B16" s="32">
        <v>85</v>
      </c>
      <c r="C16" s="22">
        <v>13</v>
      </c>
      <c r="D16" s="22" t="s">
        <v>212</v>
      </c>
      <c r="E16" s="22">
        <v>2532171</v>
      </c>
      <c r="F16" s="22" t="s">
        <v>206</v>
      </c>
      <c r="G16" s="22" t="s">
        <v>207</v>
      </c>
      <c r="H16" s="22" t="s">
        <v>245</v>
      </c>
      <c r="I16" s="23" t="s">
        <v>213</v>
      </c>
      <c r="J16" s="27">
        <v>2.9</v>
      </c>
      <c r="K16" s="28">
        <v>3.3</v>
      </c>
      <c r="L16" s="28">
        <v>3</v>
      </c>
      <c r="M16" s="52">
        <v>1.1000000000000001</v>
      </c>
      <c r="N16" s="52">
        <v>1.3</v>
      </c>
      <c r="O16" s="49">
        <v>1.4</v>
      </c>
      <c r="P16" s="49">
        <v>1.5</v>
      </c>
      <c r="Q16" s="49" t="s">
        <v>61</v>
      </c>
      <c r="R16" s="49" t="s">
        <v>272</v>
      </c>
      <c r="S16" s="25">
        <v>21.95</v>
      </c>
      <c r="T16" s="143">
        <f t="shared" si="1"/>
        <v>9.1999999999999993</v>
      </c>
      <c r="U16" s="143">
        <f>IF((VLOOKUP(Q16,MogulsDD!$A$1:$D$1000,4,FALSE)*(M16+O16)/2)&gt;3.75,3.75,VLOOKUP(Q16,MogulsDD!$A$1:$D$1000,4,FALSE)*(M16+O16)/2)+IF((VLOOKUP(R16,MogulsDD!$A$1:$D$1000,4,FALSE)*(N16+P16)/2)&gt;3.75,3.75,VLOOKUP(R16,MogulsDD!$A$1:$D$1000,4,FALSE)*(N16+P16)/2)</f>
        <v>3.25</v>
      </c>
      <c r="V16" s="143">
        <f t="shared" si="2"/>
        <v>6.7580025608194632</v>
      </c>
      <c r="W16" s="144">
        <f>(J16+K16+L16)+IF((VLOOKUP(Q16,MogulsDD!$A$1:$D$1000,4,FALSE)*(M16+O16)/2)&gt;3.75,3.75,VLOOKUP(Q16,MogulsDD!$A$1:$D$1000,4,FALSE)*(M16+O16)/2)+IF((VLOOKUP(R16,MogulsDD!$A$1:$D$1000,4,FALSE)*(N16+P16)/2)&gt;3.75,3.75,VLOOKUP(R16,MogulsDD!$A$1:$D$1000,4,FALSE)*(N16+P16)/2)+IF((18-12*S16/$K$5)&gt;7.5,7.5,IF((18-12*S16/$K$5)&lt;0,0,(18-12*S16/$K$5)))</f>
        <v>19.208002560819462</v>
      </c>
      <c r="X16" s="38"/>
      <c r="Y16" s="38"/>
      <c r="Z16" s="38"/>
      <c r="AA16" s="38"/>
      <c r="AB16" s="39"/>
      <c r="AC16" s="38"/>
      <c r="AD16" s="38"/>
      <c r="AE16" s="38"/>
      <c r="AF16" s="38"/>
      <c r="AG16" s="39"/>
      <c r="AH16" s="38"/>
      <c r="AI16" s="38"/>
      <c r="AJ16" s="38"/>
      <c r="AK16" s="38"/>
      <c r="AL16" s="39"/>
      <c r="AM16" s="44"/>
      <c r="AN16" s="39"/>
      <c r="AO16" s="37"/>
      <c r="AP16" s="37"/>
    </row>
    <row r="17" spans="1:42">
      <c r="A17" s="19">
        <f t="shared" si="0"/>
        <v>5</v>
      </c>
      <c r="B17" s="32">
        <v>87</v>
      </c>
      <c r="C17" s="22">
        <v>5</v>
      </c>
      <c r="D17" s="22" t="s">
        <v>153</v>
      </c>
      <c r="E17" s="22"/>
      <c r="F17" s="22" t="s">
        <v>154</v>
      </c>
      <c r="G17" s="22" t="s">
        <v>122</v>
      </c>
      <c r="H17" s="22" t="s">
        <v>155</v>
      </c>
      <c r="I17" s="23" t="s">
        <v>133</v>
      </c>
      <c r="J17" s="27">
        <v>3</v>
      </c>
      <c r="K17" s="28">
        <v>3.2</v>
      </c>
      <c r="L17" s="28">
        <v>2.8</v>
      </c>
      <c r="M17" s="52">
        <v>1.5</v>
      </c>
      <c r="N17" s="52">
        <v>1.4</v>
      </c>
      <c r="O17" s="49">
        <v>1.6</v>
      </c>
      <c r="P17" s="49">
        <v>1.3</v>
      </c>
      <c r="Q17" s="49" t="s">
        <v>273</v>
      </c>
      <c r="R17" s="49" t="s">
        <v>61</v>
      </c>
      <c r="S17" s="25">
        <v>21.79</v>
      </c>
      <c r="T17" s="143">
        <f t="shared" si="1"/>
        <v>9</v>
      </c>
      <c r="U17" s="143">
        <f>IF((VLOOKUP(Q17,MogulsDD!$A$1:$D$1000,4,FALSE)*(M17+O17)/2)&gt;3.75,3.75,VLOOKUP(Q17,MogulsDD!$A$1:$D$1000,4,FALSE)*(M17+O17)/2)+IF((VLOOKUP(R17,MogulsDD!$A$1:$D$1000,4,FALSE)*(N17+P17)/2)&gt;3.75,3.75,VLOOKUP(R17,MogulsDD!$A$1:$D$1000,4,FALSE)*(N17+P17)/2)</f>
        <v>3.0150000000000001</v>
      </c>
      <c r="V17" s="143">
        <f t="shared" si="2"/>
        <v>6.8399487836107546</v>
      </c>
      <c r="W17" s="144">
        <f>(J17+K17+L17)+IF((VLOOKUP(Q17,MogulsDD!$A$1:$D$1000,4,FALSE)*(M17+O17)/2)&gt;3.75,3.75,VLOOKUP(Q17,MogulsDD!$A$1:$D$1000,4,FALSE)*(M17+O17)/2)+IF((VLOOKUP(R17,MogulsDD!$A$1:$D$1000,4,FALSE)*(N17+P17)/2)&gt;3.75,3.75,VLOOKUP(R17,MogulsDD!$A$1:$D$1000,4,FALSE)*(N17+P17)/2)+IF((18-12*S17/$K$5)&gt;7.5,7.5,IF((18-12*S17/$K$5)&lt;0,0,(18-12*S17/$K$5)))</f>
        <v>18.854948783610755</v>
      </c>
      <c r="X17" s="38"/>
      <c r="Y17" s="38"/>
      <c r="Z17" s="38"/>
      <c r="AA17" s="38"/>
      <c r="AB17" s="39"/>
      <c r="AC17" s="38"/>
      <c r="AD17" s="38"/>
      <c r="AE17" s="38"/>
      <c r="AF17" s="38"/>
      <c r="AG17" s="39"/>
      <c r="AH17" s="38"/>
      <c r="AI17" s="38"/>
      <c r="AJ17" s="38"/>
      <c r="AK17" s="38"/>
      <c r="AL17" s="39"/>
      <c r="AM17" s="44"/>
      <c r="AN17" s="39"/>
      <c r="AO17" s="37"/>
      <c r="AP17" s="37"/>
    </row>
    <row r="18" spans="1:42" ht="13.8" thickBot="1">
      <c r="A18" s="19">
        <f t="shared" si="0"/>
        <v>6</v>
      </c>
      <c r="B18" s="13">
        <v>86</v>
      </c>
      <c r="C18" s="22">
        <v>11</v>
      </c>
      <c r="D18" s="14" t="s">
        <v>233</v>
      </c>
      <c r="E18" s="14"/>
      <c r="F18" s="14"/>
      <c r="G18" s="14" t="s">
        <v>240</v>
      </c>
      <c r="H18" s="14" t="s">
        <v>248</v>
      </c>
      <c r="I18" s="18"/>
      <c r="J18" s="29">
        <v>2.2999999999999998</v>
      </c>
      <c r="K18" s="30">
        <v>2.9</v>
      </c>
      <c r="L18" s="30">
        <v>2.7</v>
      </c>
      <c r="M18" s="53">
        <v>1.8</v>
      </c>
      <c r="N18" s="53">
        <v>0.7</v>
      </c>
      <c r="O18" s="50">
        <v>1.6</v>
      </c>
      <c r="P18" s="50">
        <v>0.7</v>
      </c>
      <c r="Q18" s="49" t="s">
        <v>270</v>
      </c>
      <c r="R18" s="49" t="s">
        <v>273</v>
      </c>
      <c r="S18" s="25">
        <v>24.79</v>
      </c>
      <c r="T18" s="143">
        <f t="shared" si="1"/>
        <v>7.8999999999999995</v>
      </c>
      <c r="U18" s="143">
        <f>IF((VLOOKUP(Q18,MogulsDD!$A$1:$D$1000,4,FALSE)*(M18+O18)/2)&gt;3.75,3.75,VLOOKUP(Q18,MogulsDD!$A$1:$D$1000,4,FALSE)*(M18+O18)/2)+IF((VLOOKUP(R18,MogulsDD!$A$1:$D$1000,4,FALSE)*(N18+P18)/2)&gt;3.75,3.75,VLOOKUP(R18,MogulsDD!$A$1:$D$1000,4,FALSE)*(N18+P18)/2)</f>
        <v>2.67</v>
      </c>
      <c r="V18" s="143">
        <f t="shared" si="2"/>
        <v>5.3034571062740063</v>
      </c>
      <c r="W18" s="144">
        <f>(J18+K18+L18)+IF((VLOOKUP(Q18,MogulsDD!$A$1:$D$1000,4,FALSE)*(M18+O18)/2)&gt;3.75,3.75,VLOOKUP(Q18,MogulsDD!$A$1:$D$1000,4,FALSE)*(M18+O18)/2)+IF((VLOOKUP(R18,MogulsDD!$A$1:$D$1000,4,FALSE)*(N18+P18)/2)&gt;3.75,3.75,VLOOKUP(R18,MogulsDD!$A$1:$D$1000,4,FALSE)*(N18+P18)/2)+IF((18-12*S18/$K$5)&gt;7.5,7.5,IF((18-12*S18/$K$5)&lt;0,0,(18-12*S18/$K$5)))</f>
        <v>15.873457106274007</v>
      </c>
      <c r="X18" s="38"/>
      <c r="Y18" s="38"/>
      <c r="Z18" s="38"/>
      <c r="AA18" s="38"/>
      <c r="AB18" s="39"/>
      <c r="AC18" s="38"/>
      <c r="AD18" s="38"/>
      <c r="AE18" s="38"/>
      <c r="AF18" s="38"/>
      <c r="AG18" s="39"/>
      <c r="AH18" s="38"/>
      <c r="AI18" s="38"/>
      <c r="AJ18" s="38"/>
      <c r="AK18" s="38"/>
      <c r="AL18" s="39"/>
      <c r="AM18" s="44"/>
      <c r="AN18" s="39"/>
      <c r="AO18" s="37"/>
      <c r="AP18" s="37"/>
    </row>
    <row r="19" spans="1:42">
      <c r="A19" s="19">
        <f t="shared" si="0"/>
        <v>7</v>
      </c>
      <c r="B19" s="32">
        <v>99</v>
      </c>
      <c r="C19" s="22">
        <v>12</v>
      </c>
      <c r="D19" s="22" t="s">
        <v>184</v>
      </c>
      <c r="E19" s="22"/>
      <c r="F19" s="22" t="s">
        <v>185</v>
      </c>
      <c r="G19" s="22" t="s">
        <v>122</v>
      </c>
      <c r="H19" s="22" t="s">
        <v>186</v>
      </c>
      <c r="I19" s="23" t="s">
        <v>187</v>
      </c>
      <c r="J19" s="24">
        <v>2</v>
      </c>
      <c r="K19" s="25">
        <v>2.4</v>
      </c>
      <c r="L19" s="25">
        <v>2.6</v>
      </c>
      <c r="M19" s="51">
        <v>0</v>
      </c>
      <c r="N19" s="51">
        <v>0.4</v>
      </c>
      <c r="O19" s="49">
        <v>0</v>
      </c>
      <c r="P19" s="49">
        <v>0.4</v>
      </c>
      <c r="Q19" s="49" t="s">
        <v>280</v>
      </c>
      <c r="R19" s="49" t="s">
        <v>279</v>
      </c>
      <c r="S19" s="25">
        <v>20.97</v>
      </c>
      <c r="T19" s="143">
        <f t="shared" si="1"/>
        <v>7</v>
      </c>
      <c r="U19" s="143">
        <f>IF((VLOOKUP(Q19,MogulsDD!$A$1:$D$1000,4,FALSE)*(M19+O19)/2)&gt;3.75,3.75,VLOOKUP(Q19,MogulsDD!$A$1:$D$1000,4,FALSE)*(M19+O19)/2)+IF((VLOOKUP(R19,MogulsDD!$A$1:$D$1000,4,FALSE)*(N19+P19)/2)&gt;3.75,3.75,VLOOKUP(R19,MogulsDD!$A$1:$D$1000,4,FALSE)*(N19+P19)/2)</f>
        <v>0.30400000000000005</v>
      </c>
      <c r="V19" s="143">
        <f t="shared" si="2"/>
        <v>7.2599231754161337</v>
      </c>
      <c r="W19" s="144">
        <f>(J19+K19+L19)+IF((VLOOKUP(Q19,MogulsDD!$A$1:$D$1000,4,FALSE)*(M19+O19)/2)&gt;3.75,3.75,VLOOKUP(Q19,MogulsDD!$A$1:$D$1000,4,FALSE)*(M19+O19)/2)+IF((VLOOKUP(R19,MogulsDD!$A$1:$D$1000,4,FALSE)*(N19+P19)/2)&gt;3.75,3.75,VLOOKUP(R19,MogulsDD!$A$1:$D$1000,4,FALSE)*(N19+P19)/2)+IF((18-12*S19/$K$5)&gt;7.5,7.5,IF((18-12*S19/$K$5)&lt;0,0,(18-12*S19/$K$5)))</f>
        <v>14.563923175416134</v>
      </c>
      <c r="X19" s="38"/>
      <c r="Y19" s="38"/>
      <c r="Z19" s="38"/>
      <c r="AA19" s="38"/>
      <c r="AB19" s="39"/>
      <c r="AC19" s="38"/>
      <c r="AD19" s="38"/>
      <c r="AE19" s="38"/>
      <c r="AF19" s="38"/>
      <c r="AG19" s="39"/>
      <c r="AH19" s="38"/>
      <c r="AI19" s="38"/>
      <c r="AJ19" s="38"/>
      <c r="AK19" s="38"/>
      <c r="AL19" s="39"/>
      <c r="AM19" s="44"/>
      <c r="AN19" s="39"/>
      <c r="AO19" s="37"/>
      <c r="AP19" s="37"/>
    </row>
    <row r="20" spans="1:42">
      <c r="A20" s="19">
        <f t="shared" si="0"/>
        <v>8</v>
      </c>
      <c r="B20" s="32">
        <v>21</v>
      </c>
      <c r="C20" s="22">
        <v>9</v>
      </c>
      <c r="D20" s="22" t="s">
        <v>182</v>
      </c>
      <c r="E20" s="22">
        <v>2530097</v>
      </c>
      <c r="F20" s="22" t="s">
        <v>173</v>
      </c>
      <c r="G20" s="22" t="s">
        <v>239</v>
      </c>
      <c r="H20" s="22" t="s">
        <v>183</v>
      </c>
      <c r="I20" s="23" t="s">
        <v>115</v>
      </c>
      <c r="J20" s="27">
        <v>1.8</v>
      </c>
      <c r="K20" s="28">
        <v>2.1</v>
      </c>
      <c r="L20" s="28">
        <v>1.7</v>
      </c>
      <c r="M20" s="52">
        <v>0.5</v>
      </c>
      <c r="N20" s="52">
        <v>1.6</v>
      </c>
      <c r="O20" s="49">
        <v>0.5</v>
      </c>
      <c r="P20" s="49">
        <v>1.5</v>
      </c>
      <c r="Q20" s="49" t="s">
        <v>61</v>
      </c>
      <c r="R20" s="49" t="s">
        <v>273</v>
      </c>
      <c r="S20" s="25">
        <v>21.67</v>
      </c>
      <c r="T20" s="143">
        <f t="shared" si="1"/>
        <v>5.6000000000000005</v>
      </c>
      <c r="U20" s="143">
        <f>IF((VLOOKUP(Q20,MogulsDD!$A$1:$D$1000,4,FALSE)*(M20+O20)/2)&gt;3.75,3.75,VLOOKUP(Q20,MogulsDD!$A$1:$D$1000,4,FALSE)*(M20+O20)/2)+IF((VLOOKUP(R20,MogulsDD!$A$1:$D$1000,4,FALSE)*(N20+P20)/2)&gt;3.75,3.75,VLOOKUP(R20,MogulsDD!$A$1:$D$1000,4,FALSE)*(N20+P20)/2)</f>
        <v>1.9950000000000001</v>
      </c>
      <c r="V20" s="143">
        <f t="shared" si="2"/>
        <v>6.9014084507042242</v>
      </c>
      <c r="W20" s="144">
        <f>(J20+K20+L20)+IF((VLOOKUP(Q20,MogulsDD!$A$1:$D$1000,4,FALSE)*(M20+O20)/2)&gt;3.75,3.75,VLOOKUP(Q20,MogulsDD!$A$1:$D$1000,4,FALSE)*(M20+O20)/2)+IF((VLOOKUP(R20,MogulsDD!$A$1:$D$1000,4,FALSE)*(N20+P20)/2)&gt;3.75,3.75,VLOOKUP(R20,MogulsDD!$A$1:$D$1000,4,FALSE)*(N20+P20)/2)+IF((18-12*S20/$K$5)&gt;7.5,7.5,IF((18-12*S20/$K$5)&lt;0,0,(18-12*S20/$K$5)))</f>
        <v>14.496408450704225</v>
      </c>
      <c r="X20" s="38"/>
      <c r="Y20" s="38"/>
      <c r="Z20" s="38"/>
      <c r="AA20" s="38"/>
      <c r="AB20" s="39"/>
      <c r="AC20" s="38"/>
      <c r="AD20" s="38"/>
      <c r="AE20" s="38"/>
      <c r="AF20" s="38"/>
      <c r="AG20" s="39"/>
      <c r="AH20" s="38"/>
      <c r="AI20" s="38"/>
      <c r="AJ20" s="38"/>
      <c r="AK20" s="38"/>
      <c r="AL20" s="39"/>
      <c r="AM20" s="44"/>
      <c r="AN20" s="39"/>
      <c r="AO20" s="37"/>
      <c r="AP20" s="37"/>
    </row>
    <row r="21" spans="1:42">
      <c r="A21" s="19">
        <f t="shared" si="0"/>
        <v>9</v>
      </c>
      <c r="B21" s="32">
        <v>124</v>
      </c>
      <c r="C21" s="22">
        <v>10</v>
      </c>
      <c r="D21" s="22" t="s">
        <v>241</v>
      </c>
      <c r="E21" s="22"/>
      <c r="F21" s="22">
        <v>22352</v>
      </c>
      <c r="G21" s="22" t="s">
        <v>122</v>
      </c>
      <c r="H21" s="22" t="s">
        <v>127</v>
      </c>
      <c r="I21" s="23" t="s">
        <v>128</v>
      </c>
      <c r="J21" s="27">
        <v>2.7</v>
      </c>
      <c r="K21" s="28">
        <v>2.4</v>
      </c>
      <c r="L21" s="28">
        <v>2.6</v>
      </c>
      <c r="M21" s="52">
        <v>1.1000000000000001</v>
      </c>
      <c r="N21" s="52">
        <v>0</v>
      </c>
      <c r="O21" s="49">
        <v>1</v>
      </c>
      <c r="P21" s="49">
        <v>0</v>
      </c>
      <c r="Q21" s="49" t="s">
        <v>279</v>
      </c>
      <c r="R21" s="49" t="s">
        <v>279</v>
      </c>
      <c r="S21" s="25">
        <v>23.69</v>
      </c>
      <c r="T21" s="143">
        <f t="shared" si="1"/>
        <v>7.6999999999999993</v>
      </c>
      <c r="U21" s="143">
        <f>IF((VLOOKUP(Q21,MogulsDD!$A$1:$D$1000,4,FALSE)*(M21+O21)/2)&gt;3.75,3.75,VLOOKUP(Q21,MogulsDD!$A$1:$D$1000,4,FALSE)*(M21+O21)/2)+IF((VLOOKUP(R21,MogulsDD!$A$1:$D$1000,4,FALSE)*(N21+P21)/2)&gt;3.75,3.75,VLOOKUP(R21,MogulsDD!$A$1:$D$1000,4,FALSE)*(N21+P21)/2)</f>
        <v>0.79800000000000004</v>
      </c>
      <c r="V21" s="143">
        <f t="shared" si="2"/>
        <v>5.8668373879641464</v>
      </c>
      <c r="W21" s="144">
        <f>(J21+K21+L21)+IF((VLOOKUP(Q21,MogulsDD!$A$1:$D$1000,4,FALSE)*(M21+O21)/2)&gt;3.75,3.75,VLOOKUP(Q21,MogulsDD!$A$1:$D$1000,4,FALSE)*(M21+O21)/2)+IF((VLOOKUP(R21,MogulsDD!$A$1:$D$1000,4,FALSE)*(N21+P21)/2)&gt;3.75,3.75,VLOOKUP(R21,MogulsDD!$A$1:$D$1000,4,FALSE)*(N21+P21)/2)+IF((18-12*S21/$K$5)&gt;7.5,7.5,IF((18-12*S21/$K$5)&lt;0,0,(18-12*S21/$K$5)))</f>
        <v>14.364837387964146</v>
      </c>
      <c r="X21" s="38"/>
      <c r="Y21" s="38"/>
      <c r="Z21" s="38"/>
      <c r="AA21" s="38"/>
      <c r="AB21" s="39"/>
      <c r="AC21" s="38"/>
      <c r="AD21" s="38"/>
      <c r="AE21" s="38"/>
      <c r="AF21" s="38"/>
      <c r="AG21" s="39"/>
      <c r="AH21" s="38"/>
      <c r="AI21" s="38"/>
      <c r="AJ21" s="38"/>
      <c r="AK21" s="38"/>
      <c r="AL21" s="39"/>
      <c r="AM21" s="44"/>
      <c r="AN21" s="39"/>
      <c r="AO21" s="37"/>
      <c r="AP21" s="37"/>
    </row>
    <row r="22" spans="1:42">
      <c r="A22" s="19">
        <f t="shared" si="0"/>
        <v>10</v>
      </c>
      <c r="B22" s="32">
        <v>93</v>
      </c>
      <c r="C22" s="22">
        <v>4</v>
      </c>
      <c r="D22" s="22" t="s">
        <v>208</v>
      </c>
      <c r="E22" s="22">
        <v>2531506</v>
      </c>
      <c r="F22" s="22" t="s">
        <v>164</v>
      </c>
      <c r="G22" s="22" t="s">
        <v>209</v>
      </c>
      <c r="H22" s="22" t="s">
        <v>210</v>
      </c>
      <c r="I22" s="23" t="s">
        <v>211</v>
      </c>
      <c r="J22" s="27">
        <v>0.6</v>
      </c>
      <c r="K22" s="28">
        <v>1.2</v>
      </c>
      <c r="L22" s="28">
        <v>1</v>
      </c>
      <c r="M22" s="52">
        <v>1.6</v>
      </c>
      <c r="N22" s="52">
        <v>0.1</v>
      </c>
      <c r="O22" s="49">
        <v>1.2</v>
      </c>
      <c r="P22" s="49">
        <v>0.1</v>
      </c>
      <c r="Q22" s="49" t="s">
        <v>279</v>
      </c>
      <c r="R22" s="49" t="s">
        <v>61</v>
      </c>
      <c r="S22" s="25">
        <v>25.93</v>
      </c>
      <c r="T22" s="143">
        <f t="shared" si="1"/>
        <v>2.8</v>
      </c>
      <c r="U22" s="143">
        <f>IF((VLOOKUP(Q22,MogulsDD!$A$1:$D$1000,4,FALSE)*(M22+O22)/2)&gt;3.75,3.75,VLOOKUP(Q22,MogulsDD!$A$1:$D$1000,4,FALSE)*(M22+O22)/2)+IF((VLOOKUP(R22,MogulsDD!$A$1:$D$1000,4,FALSE)*(N22+P22)/2)&gt;3.75,3.75,VLOOKUP(R22,MogulsDD!$A$1:$D$1000,4,FALSE)*(N22+P22)/2)</f>
        <v>1.1839999999999997</v>
      </c>
      <c r="V22" s="143">
        <f t="shared" si="2"/>
        <v>4.7195902688860443</v>
      </c>
      <c r="W22" s="144">
        <f>(J22+K22+L22)+IF((VLOOKUP(Q22,MogulsDD!$A$1:$D$1000,4,FALSE)*(M22+O22)/2)&gt;3.75,3.75,VLOOKUP(Q22,MogulsDD!$A$1:$D$1000,4,FALSE)*(M22+O22)/2)+IF((VLOOKUP(R22,MogulsDD!$A$1:$D$1000,4,FALSE)*(N22+P22)/2)&gt;3.75,3.75,VLOOKUP(R22,MogulsDD!$A$1:$D$1000,4,FALSE)*(N22+P22)/2)+IF((18-12*S22/$K$5)&gt;7.5,7.5,IF((18-12*S22/$K$5)&lt;0,0,(18-12*S22/$K$5)))</f>
        <v>8.7035902688860443</v>
      </c>
      <c r="X22" s="38"/>
      <c r="Y22" s="38"/>
      <c r="Z22" s="38"/>
      <c r="AA22" s="38"/>
      <c r="AB22" s="39"/>
      <c r="AC22" s="38"/>
      <c r="AD22" s="38"/>
      <c r="AE22" s="38"/>
      <c r="AF22" s="38"/>
      <c r="AG22" s="39"/>
      <c r="AH22" s="38"/>
      <c r="AI22" s="38"/>
      <c r="AJ22" s="38"/>
      <c r="AK22" s="38"/>
      <c r="AL22" s="39"/>
      <c r="AM22" s="44"/>
      <c r="AN22" s="39"/>
      <c r="AO22" s="37"/>
      <c r="AP22" s="37"/>
    </row>
    <row r="23" spans="1:42">
      <c r="A23" s="19">
        <f t="shared" si="0"/>
        <v>11</v>
      </c>
      <c r="B23" s="32">
        <v>72</v>
      </c>
      <c r="C23" s="22">
        <v>6</v>
      </c>
      <c r="D23" s="22" t="s">
        <v>234</v>
      </c>
      <c r="E23" s="22"/>
      <c r="F23" s="22"/>
      <c r="G23" s="22" t="s">
        <v>240</v>
      </c>
      <c r="H23" s="22" t="s">
        <v>249</v>
      </c>
      <c r="I23" s="23"/>
      <c r="J23" s="27">
        <v>1</v>
      </c>
      <c r="K23" s="28">
        <v>1.2</v>
      </c>
      <c r="L23" s="28">
        <v>0.7</v>
      </c>
      <c r="M23" s="52">
        <v>0</v>
      </c>
      <c r="N23" s="52">
        <v>0.3</v>
      </c>
      <c r="O23" s="49">
        <v>0</v>
      </c>
      <c r="P23" s="49">
        <v>0.7</v>
      </c>
      <c r="Q23" s="49" t="s">
        <v>63</v>
      </c>
      <c r="R23" s="49" t="s">
        <v>279</v>
      </c>
      <c r="S23" s="25">
        <v>27.12</v>
      </c>
      <c r="T23" s="143">
        <f t="shared" si="1"/>
        <v>2.9000000000000004</v>
      </c>
      <c r="U23" s="143">
        <f>IF((VLOOKUP(Q23,MogulsDD!$A$1:$D$1000,4,FALSE)*(M23+O23)/2)&gt;3.75,3.75,VLOOKUP(Q23,MogulsDD!$A$1:$D$1000,4,FALSE)*(M23+O23)/2)+IF((VLOOKUP(R23,MogulsDD!$A$1:$D$1000,4,FALSE)*(N23+P23)/2)&gt;3.75,3.75,VLOOKUP(R23,MogulsDD!$A$1:$D$1000,4,FALSE)*(N23+P23)/2)</f>
        <v>0.38</v>
      </c>
      <c r="V23" s="143">
        <f t="shared" si="2"/>
        <v>4.1101152368757994</v>
      </c>
      <c r="W23" s="144">
        <f>(J23+K23+L23)+IF((VLOOKUP(Q23,MogulsDD!$A$1:$D$1000,4,FALSE)*(M23+O23)/2)&gt;3.75,3.75,VLOOKUP(Q23,MogulsDD!$A$1:$D$1000,4,FALSE)*(M23+O23)/2)+IF((VLOOKUP(R23,MogulsDD!$A$1:$D$1000,4,FALSE)*(N23+P23)/2)&gt;3.75,3.75,VLOOKUP(R23,MogulsDD!$A$1:$D$1000,4,FALSE)*(N23+P23)/2)+IF((18-12*S23/$K$5)&gt;7.5,7.5,IF((18-12*S23/$K$5)&lt;0,0,(18-12*S23/$K$5)))</f>
        <v>7.3901152368757996</v>
      </c>
      <c r="X23" s="38"/>
      <c r="Y23" s="38"/>
      <c r="Z23" s="38"/>
      <c r="AA23" s="38"/>
      <c r="AB23" s="39"/>
      <c r="AC23" s="38"/>
      <c r="AD23" s="38"/>
      <c r="AE23" s="38"/>
      <c r="AF23" s="38"/>
      <c r="AG23" s="39"/>
      <c r="AH23" s="38"/>
      <c r="AI23" s="38"/>
      <c r="AJ23" s="38"/>
      <c r="AK23" s="38"/>
      <c r="AL23" s="39"/>
      <c r="AM23" s="44"/>
      <c r="AN23" s="39"/>
      <c r="AO23" s="37"/>
      <c r="AP23" s="37"/>
    </row>
    <row r="24" spans="1:42">
      <c r="A24" s="19">
        <f t="shared" si="0"/>
        <v>12</v>
      </c>
      <c r="B24" s="32">
        <v>113</v>
      </c>
      <c r="C24" s="22">
        <v>8</v>
      </c>
      <c r="D24" s="22" t="s">
        <v>235</v>
      </c>
      <c r="E24" s="22"/>
      <c r="F24" s="22"/>
      <c r="G24" s="22" t="s">
        <v>240</v>
      </c>
      <c r="H24" s="22" t="s">
        <v>250</v>
      </c>
      <c r="I24" s="23"/>
      <c r="J24" s="27">
        <v>0.3</v>
      </c>
      <c r="K24" s="28">
        <v>0.8</v>
      </c>
      <c r="L24" s="28">
        <v>0.1</v>
      </c>
      <c r="M24" s="52">
        <v>1.6</v>
      </c>
      <c r="N24" s="52">
        <v>0.1</v>
      </c>
      <c r="O24" s="49">
        <v>1.4</v>
      </c>
      <c r="P24" s="49">
        <v>0.1</v>
      </c>
      <c r="Q24" s="49" t="s">
        <v>274</v>
      </c>
      <c r="R24" s="49" t="s">
        <v>276</v>
      </c>
      <c r="S24" s="25">
        <v>27.25</v>
      </c>
      <c r="T24" s="143">
        <f t="shared" si="1"/>
        <v>1.2000000000000002</v>
      </c>
      <c r="U24" s="143">
        <f>IF((VLOOKUP(Q24,MogulsDD!$A$1:$D$1000,4,FALSE)*(M24+O24)/2)&gt;3.75,3.75,VLOOKUP(Q24,MogulsDD!$A$1:$D$1000,4,FALSE)*(M24+O24)/2)+IF((VLOOKUP(R24,MogulsDD!$A$1:$D$1000,4,FALSE)*(N24+P24)/2)&gt;3.75,3.75,VLOOKUP(R24,MogulsDD!$A$1:$D$1000,4,FALSE)*(N24+P24)/2)</f>
        <v>1.2749999999999999</v>
      </c>
      <c r="V24" s="143">
        <f t="shared" si="2"/>
        <v>4.0435339308578744</v>
      </c>
      <c r="W24" s="144">
        <f>(J24+K24+L24)+IF((VLOOKUP(Q24,MogulsDD!$A$1:$D$1000,4,FALSE)*(M24+O24)/2)&gt;3.75,3.75,VLOOKUP(Q24,MogulsDD!$A$1:$D$1000,4,FALSE)*(M24+O24)/2)+IF((VLOOKUP(R24,MogulsDD!$A$1:$D$1000,4,FALSE)*(N24+P24)/2)&gt;3.75,3.75,VLOOKUP(R24,MogulsDD!$A$1:$D$1000,4,FALSE)*(N24+P24)/2)+IF((18-12*S24/$K$5)&gt;7.5,7.5,IF((18-12*S24/$K$5)&lt;0,0,(18-12*S24/$K$5)))</f>
        <v>6.5185339308578749</v>
      </c>
      <c r="X24" s="38"/>
      <c r="Y24" s="38"/>
      <c r="Z24" s="38"/>
      <c r="AA24" s="38"/>
      <c r="AB24" s="39"/>
      <c r="AC24" s="38"/>
      <c r="AD24" s="38"/>
      <c r="AE24" s="38"/>
      <c r="AF24" s="38"/>
      <c r="AG24" s="39"/>
      <c r="AH24" s="38"/>
      <c r="AI24" s="38"/>
      <c r="AJ24" s="38"/>
      <c r="AK24" s="38"/>
      <c r="AL24" s="39"/>
      <c r="AM24" s="44"/>
      <c r="AN24" s="39"/>
      <c r="AO24" s="37"/>
      <c r="AP24" s="37"/>
    </row>
    <row r="25" spans="1:42">
      <c r="A25" s="19">
        <f t="shared" si="0"/>
        <v>13</v>
      </c>
      <c r="B25" s="32">
        <v>23</v>
      </c>
      <c r="C25" s="22">
        <v>1</v>
      </c>
      <c r="D25" s="22" t="s">
        <v>232</v>
      </c>
      <c r="E25" s="22"/>
      <c r="F25" s="22"/>
      <c r="G25" s="22" t="s">
        <v>240</v>
      </c>
      <c r="H25" s="22" t="s">
        <v>247</v>
      </c>
      <c r="I25" s="23"/>
      <c r="J25" s="27">
        <v>0</v>
      </c>
      <c r="K25" s="28">
        <v>0</v>
      </c>
      <c r="L25" s="28">
        <v>0</v>
      </c>
      <c r="M25" s="52">
        <v>0</v>
      </c>
      <c r="N25" s="52">
        <v>0</v>
      </c>
      <c r="O25" s="49">
        <v>0</v>
      </c>
      <c r="P25" s="49">
        <v>0</v>
      </c>
      <c r="Q25" s="54" t="s">
        <v>63</v>
      </c>
      <c r="R25" s="54" t="s">
        <v>63</v>
      </c>
      <c r="S25" s="25">
        <v>9999</v>
      </c>
      <c r="T25" s="143">
        <f t="shared" si="1"/>
        <v>0</v>
      </c>
      <c r="U25" s="143">
        <f>IF((VLOOKUP(Q25,MogulsDD!$A$1:$D$1000,4,FALSE)*(M25+O25)/2)&gt;3.75,3.75,VLOOKUP(Q25,MogulsDD!$A$1:$D$1000,4,FALSE)*(M25+O25)/2)+IF((VLOOKUP(R25,MogulsDD!$A$1:$D$1000,4,FALSE)*(N25+P25)/2)&gt;3.75,3.75,VLOOKUP(R25,MogulsDD!$A$1:$D$1000,4,FALSE)*(N25+P25)/2)</f>
        <v>0</v>
      </c>
      <c r="V25" s="143">
        <f t="shared" si="2"/>
        <v>0</v>
      </c>
      <c r="W25" s="144">
        <f>(J25+K25+L25)+IF((VLOOKUP(Q25,MogulsDD!$A$1:$D$1000,4,FALSE)*(M25+O25)/2)&gt;3.75,3.75,VLOOKUP(Q25,MogulsDD!$A$1:$D$1000,4,FALSE)*(M25+O25)/2)+IF((VLOOKUP(R25,MogulsDD!$A$1:$D$1000,4,FALSE)*(N25+P25)/2)&gt;3.75,3.75,VLOOKUP(R25,MogulsDD!$A$1:$D$1000,4,FALSE)*(N25+P25)/2)+IF((18-12*S25/$K$5)&gt;7.5,7.5,IF((18-12*S25/$K$5)&lt;0,0,(18-12*S25/$K$5)))</f>
        <v>0</v>
      </c>
      <c r="X25" s="38"/>
      <c r="Y25" s="38"/>
      <c r="Z25" s="38"/>
      <c r="AA25" s="38"/>
      <c r="AB25" s="39"/>
      <c r="AC25" s="38"/>
      <c r="AD25" s="38"/>
      <c r="AE25" s="38"/>
      <c r="AF25" s="38"/>
      <c r="AG25" s="39"/>
      <c r="AH25" s="38"/>
      <c r="AI25" s="38"/>
      <c r="AJ25" s="38"/>
      <c r="AK25" s="38"/>
      <c r="AL25" s="39"/>
      <c r="AM25" s="44"/>
      <c r="AN25" s="39"/>
      <c r="AO25" s="37"/>
      <c r="AP25" s="37"/>
    </row>
    <row r="26" spans="1:42">
      <c r="A26" s="19">
        <f t="shared" si="0"/>
        <v>13</v>
      </c>
      <c r="B26" s="32">
        <v>62</v>
      </c>
      <c r="C26" s="22">
        <v>3</v>
      </c>
      <c r="D26" s="22" t="s">
        <v>231</v>
      </c>
      <c r="E26" s="22"/>
      <c r="F26" s="22"/>
      <c r="G26" s="22" t="s">
        <v>240</v>
      </c>
      <c r="H26" s="22" t="s">
        <v>246</v>
      </c>
      <c r="I26" s="23"/>
      <c r="J26" s="27">
        <v>0</v>
      </c>
      <c r="K26" s="28">
        <v>0</v>
      </c>
      <c r="L26" s="28">
        <v>0</v>
      </c>
      <c r="M26" s="52">
        <v>0</v>
      </c>
      <c r="N26" s="52">
        <v>0</v>
      </c>
      <c r="O26" s="49">
        <v>0</v>
      </c>
      <c r="P26" s="49">
        <v>0</v>
      </c>
      <c r="Q26" s="49" t="s">
        <v>63</v>
      </c>
      <c r="R26" s="49" t="s">
        <v>63</v>
      </c>
      <c r="S26" s="25">
        <v>9999</v>
      </c>
      <c r="T26" s="143">
        <f t="shared" si="1"/>
        <v>0</v>
      </c>
      <c r="U26" s="143">
        <f>IF((VLOOKUP(Q26,MogulsDD!$A$1:$D$1000,4,FALSE)*(M26+O26)/2)&gt;3.75,3.75,VLOOKUP(Q26,MogulsDD!$A$1:$D$1000,4,FALSE)*(M26+O26)/2)+IF((VLOOKUP(R26,MogulsDD!$A$1:$D$1000,4,FALSE)*(N26+P26)/2)&gt;3.75,3.75,VLOOKUP(R26,MogulsDD!$A$1:$D$1000,4,FALSE)*(N26+P26)/2)</f>
        <v>0</v>
      </c>
      <c r="V26" s="143">
        <f t="shared" si="2"/>
        <v>0</v>
      </c>
      <c r="W26" s="144">
        <f>(J26+K26+L26)+IF((VLOOKUP(Q26,MogulsDD!$A$1:$D$1000,4,FALSE)*(M26+O26)/2)&gt;3.75,3.75,VLOOKUP(Q26,MogulsDD!$A$1:$D$1000,4,FALSE)*(M26+O26)/2)+IF((VLOOKUP(R26,MogulsDD!$A$1:$D$1000,4,FALSE)*(N26+P26)/2)&gt;3.75,3.75,VLOOKUP(R26,MogulsDD!$A$1:$D$1000,4,FALSE)*(N26+P26)/2)+IF((18-12*S26/$K$5)&gt;7.5,7.5,IF((18-12*S26/$K$5)&lt;0,0,(18-12*S26/$K$5)))</f>
        <v>0</v>
      </c>
      <c r="X26" s="38"/>
      <c r="Y26" s="38"/>
      <c r="Z26" s="38"/>
      <c r="AA26" s="38"/>
      <c r="AB26" s="39"/>
      <c r="AC26" s="38"/>
      <c r="AD26" s="38"/>
      <c r="AE26" s="38"/>
      <c r="AF26" s="38"/>
      <c r="AG26" s="39"/>
      <c r="AH26" s="38"/>
      <c r="AI26" s="38"/>
      <c r="AJ26" s="38"/>
      <c r="AK26" s="38"/>
      <c r="AL26" s="39"/>
      <c r="AM26" s="44"/>
      <c r="AN26" s="39"/>
      <c r="AO26" s="37"/>
      <c r="AP26" s="37"/>
    </row>
    <row r="27" spans="1:42" ht="13.8" thickBot="1">
      <c r="A27" s="7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47"/>
      <c r="X27" s="38"/>
      <c r="Y27" s="38"/>
      <c r="Z27" s="38"/>
      <c r="AA27" s="38"/>
      <c r="AB27" s="39"/>
      <c r="AC27" s="38"/>
      <c r="AD27" s="38"/>
      <c r="AE27" s="38"/>
      <c r="AF27" s="38"/>
      <c r="AG27" s="38"/>
      <c r="AH27" s="38"/>
      <c r="AI27" s="38"/>
      <c r="AJ27" s="38"/>
      <c r="AK27" s="38"/>
      <c r="AL27" s="39"/>
      <c r="AM27" s="38"/>
      <c r="AN27" s="39"/>
      <c r="AO27" s="37"/>
      <c r="AP27" s="37"/>
    </row>
    <row r="28" spans="1:42" ht="13.8" thickBot="1">
      <c r="A28" s="12"/>
      <c r="B28" s="11"/>
      <c r="C28" s="9"/>
      <c r="D28" s="9"/>
      <c r="E28" s="31" t="s">
        <v>261</v>
      </c>
      <c r="F28" s="9"/>
      <c r="G28" s="9"/>
      <c r="H28" s="9"/>
      <c r="I28" s="10"/>
      <c r="J28" s="21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48"/>
      <c r="X28" s="38"/>
      <c r="Y28" s="38"/>
      <c r="Z28" s="38"/>
      <c r="AA28" s="38"/>
      <c r="AB28" s="38"/>
      <c r="AC28" s="38"/>
      <c r="AD28" s="38"/>
      <c r="AE28" s="38"/>
      <c r="AF28" s="38"/>
      <c r="AG28" s="40"/>
      <c r="AH28" s="38"/>
      <c r="AI28" s="38"/>
      <c r="AJ28" s="38"/>
      <c r="AK28" s="38"/>
      <c r="AL28" s="40"/>
      <c r="AM28" s="38"/>
      <c r="AN28" s="39"/>
      <c r="AO28" s="37"/>
      <c r="AP28" s="37"/>
    </row>
    <row r="29" spans="1:42" ht="13.8" thickBot="1">
      <c r="A29" s="2" t="s">
        <v>0</v>
      </c>
      <c r="B29" s="3" t="s">
        <v>1</v>
      </c>
      <c r="C29" s="3" t="s">
        <v>252</v>
      </c>
      <c r="D29" s="3" t="s">
        <v>111</v>
      </c>
      <c r="E29" s="3" t="s">
        <v>238</v>
      </c>
      <c r="F29" s="3" t="s">
        <v>16</v>
      </c>
      <c r="G29" s="3" t="s">
        <v>3</v>
      </c>
      <c r="H29" s="3" t="s">
        <v>4</v>
      </c>
      <c r="I29" s="4" t="s">
        <v>5</v>
      </c>
      <c r="J29" s="2" t="s">
        <v>11</v>
      </c>
      <c r="K29" s="3" t="s">
        <v>12</v>
      </c>
      <c r="L29" s="3" t="s">
        <v>15</v>
      </c>
      <c r="M29" s="3" t="s">
        <v>66</v>
      </c>
      <c r="N29" s="3" t="s">
        <v>65</v>
      </c>
      <c r="O29" s="3" t="s">
        <v>67</v>
      </c>
      <c r="P29" s="3" t="s">
        <v>68</v>
      </c>
      <c r="Q29" s="3" t="s">
        <v>59</v>
      </c>
      <c r="R29" s="3" t="s">
        <v>60</v>
      </c>
      <c r="S29" s="3" t="s">
        <v>22</v>
      </c>
      <c r="T29" s="3" t="s">
        <v>314</v>
      </c>
      <c r="U29" s="3" t="s">
        <v>315</v>
      </c>
      <c r="V29" s="3" t="s">
        <v>316</v>
      </c>
      <c r="W29" s="46" t="s">
        <v>14</v>
      </c>
      <c r="X29" s="41"/>
      <c r="Y29" s="41"/>
      <c r="Z29" s="41"/>
      <c r="AA29" s="41"/>
      <c r="AB29" s="42"/>
      <c r="AC29" s="41"/>
      <c r="AD29" s="41"/>
      <c r="AE29" s="41"/>
      <c r="AF29" s="41"/>
      <c r="AG29" s="42"/>
      <c r="AH29" s="41"/>
      <c r="AI29" s="41"/>
      <c r="AJ29" s="41"/>
      <c r="AK29" s="41"/>
      <c r="AL29" s="42"/>
      <c r="AM29" s="43"/>
      <c r="AN29" s="39"/>
      <c r="AO29" s="37"/>
      <c r="AP29" s="37"/>
    </row>
    <row r="30" spans="1:42">
      <c r="A30" s="19">
        <f t="shared" ref="A30:A49" si="3">RANK(W30,$W$30:$W$49,0)</f>
        <v>1</v>
      </c>
      <c r="B30" s="32">
        <v>115</v>
      </c>
      <c r="C30" s="22">
        <v>4</v>
      </c>
      <c r="D30" s="22" t="s">
        <v>118</v>
      </c>
      <c r="E30" s="22">
        <v>2528768</v>
      </c>
      <c r="F30" s="22" t="s">
        <v>119</v>
      </c>
      <c r="G30" s="22" t="s">
        <v>129</v>
      </c>
      <c r="H30" s="22" t="s">
        <v>120</v>
      </c>
      <c r="I30" s="23" t="s">
        <v>121</v>
      </c>
      <c r="J30" s="24">
        <v>4.5999999999999996</v>
      </c>
      <c r="K30" s="25">
        <v>4.5999999999999996</v>
      </c>
      <c r="L30" s="25">
        <v>4.7</v>
      </c>
      <c r="M30" s="51">
        <v>2.2999999999999998</v>
      </c>
      <c r="N30" s="51">
        <v>2.2999999999999998</v>
      </c>
      <c r="O30" s="49">
        <v>2.2999999999999998</v>
      </c>
      <c r="P30" s="49">
        <v>2.2000000000000002</v>
      </c>
      <c r="Q30" s="49" t="s">
        <v>304</v>
      </c>
      <c r="R30" s="49" t="s">
        <v>30</v>
      </c>
      <c r="S30" s="25">
        <v>18.13</v>
      </c>
      <c r="T30" s="143">
        <f>(J30+K30+L30)</f>
        <v>13.899999999999999</v>
      </c>
      <c r="U30" s="143">
        <f>IF((VLOOKUP(Q30,MogulsDD!$A$1:$C$1000,3,FALSE)*(M30+O30)/2)&gt;3.75,3.75,VLOOKUP(Q30,MogulsDD!$A$1:$C$1000,3,FALSE)*(M30+O30)/2)+IF((VLOOKUP(R30,MogulsDD!$A$1:$C$1000,3,FALSE)*(N30+P30)/2)&gt;3.75,3.75,VLOOKUP(R30,MogulsDD!$A$1:$C$1000,3,FALSE)*(N30+P30)/2)</f>
        <v>5.6419999999999995</v>
      </c>
      <c r="V30" s="143">
        <f>IF((18-12*S30/$J$5)&gt;7.5,7.5,IF((18-12*S30/$J$5)&lt;0,0,(18-12*S30/$J$5)))</f>
        <v>5.617529880478088</v>
      </c>
      <c r="W30" s="144">
        <f>(J30+K30+L30)+IF((VLOOKUP(Q30,MogulsDD!$A$1:$C$1000,3,FALSE)*(M30+O30)/2)&gt;3.75,3.75,VLOOKUP(Q30,MogulsDD!$A$1:$C$1000,3,FALSE)*(M30+O30)/2)+IF((VLOOKUP(R30,MogulsDD!$A$1:$C$1000,3,FALSE)*(N30+P30)/2)&gt;3.75,3.75,VLOOKUP(R30,MogulsDD!$A$1:$C$1000,3,FALSE)*(N30+P30)/2)+IF((18-12*S30/$J$5)&gt;7.5,7.5,IF((18-12*S30/$J$5)&lt;0,0,(18-12*S30/$J$5)))</f>
        <v>25.159529880478086</v>
      </c>
      <c r="X30" s="38"/>
      <c r="Y30" s="38"/>
      <c r="Z30" s="38"/>
      <c r="AA30" s="38"/>
      <c r="AB30" s="39"/>
      <c r="AC30" s="38"/>
      <c r="AD30" s="38"/>
      <c r="AE30" s="38"/>
      <c r="AF30" s="38"/>
      <c r="AG30" s="39"/>
      <c r="AH30" s="38"/>
      <c r="AI30" s="38"/>
      <c r="AJ30" s="38"/>
      <c r="AK30" s="38"/>
      <c r="AL30" s="39"/>
      <c r="AM30" s="44"/>
      <c r="AN30" s="39"/>
      <c r="AO30" s="37"/>
      <c r="AP30" s="37"/>
    </row>
    <row r="31" spans="1:42">
      <c r="A31" s="19">
        <f t="shared" si="3"/>
        <v>3</v>
      </c>
      <c r="B31" s="32">
        <v>100</v>
      </c>
      <c r="C31" s="22">
        <v>6</v>
      </c>
      <c r="D31" s="22" t="s">
        <v>203</v>
      </c>
      <c r="E31" s="22"/>
      <c r="F31" s="22" t="s">
        <v>164</v>
      </c>
      <c r="G31" s="22" t="s">
        <v>209</v>
      </c>
      <c r="H31" s="22" t="s">
        <v>204</v>
      </c>
      <c r="I31" s="23" t="s">
        <v>115</v>
      </c>
      <c r="J31" s="27">
        <v>4.4000000000000004</v>
      </c>
      <c r="K31" s="28">
        <v>4.2</v>
      </c>
      <c r="L31" s="28">
        <v>4.3</v>
      </c>
      <c r="M31" s="52">
        <v>2.2999999999999998</v>
      </c>
      <c r="N31" s="52">
        <v>2.4</v>
      </c>
      <c r="O31" s="49">
        <v>2.2999999999999998</v>
      </c>
      <c r="P31" s="49">
        <v>2.2000000000000002</v>
      </c>
      <c r="Q31" s="49" t="s">
        <v>284</v>
      </c>
      <c r="R31" s="49" t="s">
        <v>286</v>
      </c>
      <c r="S31" s="25">
        <v>18.690000000000001</v>
      </c>
      <c r="T31" s="143">
        <f t="shared" ref="T31:T49" si="4">(J31+K31+L31)</f>
        <v>12.900000000000002</v>
      </c>
      <c r="U31" s="143">
        <f>IF((VLOOKUP(Q31,MogulsDD!$A$1:$C$1000,3,FALSE)*(M31+O31)/2)&gt;3.75,3.75,VLOOKUP(Q31,MogulsDD!$A$1:$C$1000,3,FALSE)*(M31+O31)/2)+IF((VLOOKUP(R31,MogulsDD!$A$1:$C$1000,3,FALSE)*(N31+P31)/2)&gt;3.75,3.75,VLOOKUP(R31,MogulsDD!$A$1:$C$1000,3,FALSE)*(N31+P31)/2)</f>
        <v>4.9220000000000006</v>
      </c>
      <c r="V31" s="143">
        <f t="shared" ref="V31:V49" si="5">IF((18-12*S31/$J$5)&gt;7.5,7.5,IF((18-12*S31/$J$5)&lt;0,0,(18-12*S31/$J$5)))</f>
        <v>5.2350597609561742</v>
      </c>
      <c r="W31" s="144">
        <f>(J31+K31+L31)+IF((VLOOKUP(Q31,MogulsDD!$A$1:$C$1000,3,FALSE)*(M31+O31)/2)&gt;3.75,3.75,VLOOKUP(Q31,MogulsDD!$A$1:$C$1000,3,FALSE)*(M31+O31)/2)+IF((VLOOKUP(R31,MogulsDD!$A$1:$C$1000,3,FALSE)*(N31+P31)/2)&gt;3.75,3.75,VLOOKUP(R31,MogulsDD!$A$1:$C$1000,3,FALSE)*(N31+P31)/2)+IF((18-12*S31/$J$5)&gt;7.5,7.5,IF((18-12*S31/$J$5)&lt;0,0,(18-12*S31/$J$5)))</f>
        <v>23.057059760956179</v>
      </c>
      <c r="X31" s="38"/>
      <c r="Y31" s="38"/>
      <c r="Z31" s="38"/>
      <c r="AA31" s="38"/>
      <c r="AB31" s="39"/>
      <c r="AC31" s="38"/>
      <c r="AD31" s="38"/>
      <c r="AE31" s="38"/>
      <c r="AF31" s="38"/>
      <c r="AG31" s="39"/>
      <c r="AH31" s="38"/>
      <c r="AI31" s="38"/>
      <c r="AJ31" s="38"/>
      <c r="AK31" s="38"/>
      <c r="AL31" s="39"/>
      <c r="AM31" s="44"/>
      <c r="AN31" s="39"/>
      <c r="AO31" s="37"/>
      <c r="AP31" s="37"/>
    </row>
    <row r="32" spans="1:42">
      <c r="A32" s="19">
        <f t="shared" si="3"/>
        <v>2</v>
      </c>
      <c r="B32" s="32">
        <v>88</v>
      </c>
      <c r="C32" s="22">
        <v>7</v>
      </c>
      <c r="D32" s="22" t="s">
        <v>168</v>
      </c>
      <c r="E32" s="22"/>
      <c r="F32" s="22" t="s">
        <v>164</v>
      </c>
      <c r="G32" s="22" t="s">
        <v>209</v>
      </c>
      <c r="H32" s="22" t="s">
        <v>169</v>
      </c>
      <c r="I32" s="23" t="s">
        <v>103</v>
      </c>
      <c r="J32" s="27">
        <v>4.3</v>
      </c>
      <c r="K32" s="28">
        <v>4.2</v>
      </c>
      <c r="L32" s="28">
        <v>4.0999999999999996</v>
      </c>
      <c r="M32" s="52">
        <v>2.2000000000000002</v>
      </c>
      <c r="N32" s="52">
        <v>1.9</v>
      </c>
      <c r="O32" s="49">
        <v>2.2000000000000002</v>
      </c>
      <c r="P32" s="49">
        <v>2</v>
      </c>
      <c r="Q32" s="49" t="s">
        <v>284</v>
      </c>
      <c r="R32" s="49" t="s">
        <v>272</v>
      </c>
      <c r="S32" s="25">
        <v>17.13</v>
      </c>
      <c r="T32" s="143">
        <f t="shared" si="4"/>
        <v>12.6</v>
      </c>
      <c r="U32" s="143">
        <f>IF((VLOOKUP(Q32,MogulsDD!$A$1:$C$1000,3,FALSE)*(M32+O32)/2)&gt;3.75,3.75,VLOOKUP(Q32,MogulsDD!$A$1:$C$1000,3,FALSE)*(M32+O32)/2)+IF((VLOOKUP(R32,MogulsDD!$A$1:$C$1000,3,FALSE)*(N32+P32)/2)&gt;3.75,3.75,VLOOKUP(R32,MogulsDD!$A$1:$C$1000,3,FALSE)*(N32+P32)/2)</f>
        <v>4.4550000000000001</v>
      </c>
      <c r="V32" s="143">
        <f t="shared" si="5"/>
        <v>6.3005122367672168</v>
      </c>
      <c r="W32" s="144">
        <f>(J32+K32+L32)+IF((VLOOKUP(Q32,MogulsDD!$A$1:$C$1000,3,FALSE)*(M32+O32)/2)&gt;3.75,3.75,VLOOKUP(Q32,MogulsDD!$A$1:$C$1000,3,FALSE)*(M32+O32)/2)+IF((VLOOKUP(R32,MogulsDD!$A$1:$C$1000,3,FALSE)*(N32+P32)/2)&gt;3.75,3.75,VLOOKUP(R32,MogulsDD!$A$1:$C$1000,3,FALSE)*(N32+P32)/2)+IF((18-12*S32/$J$5)&gt;7.5,7.5,IF((18-12*S32/$J$5)&lt;0,0,(18-12*S32/$J$5)))</f>
        <v>23.355512236767218</v>
      </c>
      <c r="X32" s="38"/>
      <c r="Y32" s="38"/>
      <c r="Z32" s="38"/>
      <c r="AA32" s="38"/>
      <c r="AB32" s="39"/>
      <c r="AC32" s="38"/>
      <c r="AD32" s="38"/>
      <c r="AE32" s="38"/>
      <c r="AF32" s="38"/>
      <c r="AG32" s="39"/>
      <c r="AH32" s="38"/>
      <c r="AI32" s="38"/>
      <c r="AJ32" s="38"/>
      <c r="AK32" s="38"/>
      <c r="AL32" s="39"/>
      <c r="AM32" s="44"/>
      <c r="AN32" s="39"/>
      <c r="AO32" s="37"/>
      <c r="AP32" s="37"/>
    </row>
    <row r="33" spans="1:42">
      <c r="A33" s="19">
        <f t="shared" si="3"/>
        <v>4</v>
      </c>
      <c r="B33" s="32">
        <v>49</v>
      </c>
      <c r="C33" s="22">
        <v>9</v>
      </c>
      <c r="D33" s="22" t="s">
        <v>170</v>
      </c>
      <c r="E33" s="22">
        <v>2529840</v>
      </c>
      <c r="F33" s="22" t="s">
        <v>164</v>
      </c>
      <c r="G33" s="22" t="s">
        <v>209</v>
      </c>
      <c r="H33" s="22" t="s">
        <v>171</v>
      </c>
      <c r="I33" s="23" t="s">
        <v>103</v>
      </c>
      <c r="J33" s="27">
        <v>4.5999999999999996</v>
      </c>
      <c r="K33" s="28">
        <v>4</v>
      </c>
      <c r="L33" s="28">
        <v>4.2</v>
      </c>
      <c r="M33" s="52">
        <v>2.1</v>
      </c>
      <c r="N33" s="52">
        <v>1.7</v>
      </c>
      <c r="O33" s="49">
        <v>2.1</v>
      </c>
      <c r="P33" s="49">
        <v>1.7</v>
      </c>
      <c r="Q33" s="49" t="s">
        <v>284</v>
      </c>
      <c r="R33" s="49" t="s">
        <v>273</v>
      </c>
      <c r="S33" s="25">
        <v>17.8</v>
      </c>
      <c r="T33" s="143">
        <f t="shared" si="4"/>
        <v>12.8</v>
      </c>
      <c r="U33" s="143">
        <f>IF((VLOOKUP(Q33,MogulsDD!$A$1:$C$1000,3,FALSE)*(M33+O33)/2)&gt;3.75,3.75,VLOOKUP(Q33,MogulsDD!$A$1:$C$1000,3,FALSE)*(M33+O33)/2)+IF((VLOOKUP(R33,MogulsDD!$A$1:$C$1000,3,FALSE)*(N33+P33)/2)&gt;3.75,3.75,VLOOKUP(R33,MogulsDD!$A$1:$C$1000,3,FALSE)*(N33+P33)/2)</f>
        <v>3.48</v>
      </c>
      <c r="V33" s="143">
        <f t="shared" si="5"/>
        <v>5.8429140580534984</v>
      </c>
      <c r="W33" s="144">
        <f>(J33+K33+L33)+IF((VLOOKUP(Q33,MogulsDD!$A$1:$C$1000,3,FALSE)*(M33+O33)/2)&gt;3.75,3.75,VLOOKUP(Q33,MogulsDD!$A$1:$C$1000,3,FALSE)*(M33+O33)/2)+IF((VLOOKUP(R33,MogulsDD!$A$1:$C$1000,3,FALSE)*(N33+P33)/2)&gt;3.75,3.75,VLOOKUP(R33,MogulsDD!$A$1:$C$1000,3,FALSE)*(N33+P33)/2)+IF((18-12*S33/$J$5)&gt;7.5,7.5,IF((18-12*S33/$J$5)&lt;0,0,(18-12*S33/$J$5)))</f>
        <v>22.1229140580535</v>
      </c>
      <c r="X33" s="38"/>
      <c r="Y33" s="38"/>
      <c r="Z33" s="38"/>
      <c r="AA33" s="38"/>
      <c r="AB33" s="39"/>
      <c r="AC33" s="38"/>
      <c r="AD33" s="38"/>
      <c r="AE33" s="38"/>
      <c r="AF33" s="38"/>
      <c r="AG33" s="39"/>
      <c r="AH33" s="38"/>
      <c r="AI33" s="38"/>
      <c r="AJ33" s="38"/>
      <c r="AK33" s="38"/>
      <c r="AL33" s="39"/>
      <c r="AM33" s="44"/>
      <c r="AN33" s="39"/>
      <c r="AO33" s="37"/>
      <c r="AP33" s="37"/>
    </row>
    <row r="34" spans="1:42">
      <c r="A34" s="19">
        <f t="shared" si="3"/>
        <v>6</v>
      </c>
      <c r="B34" s="32">
        <v>97</v>
      </c>
      <c r="C34" s="22">
        <v>12</v>
      </c>
      <c r="D34" s="22" t="s">
        <v>159</v>
      </c>
      <c r="E34" s="22"/>
      <c r="F34" s="22" t="s">
        <v>160</v>
      </c>
      <c r="G34" s="22" t="s">
        <v>122</v>
      </c>
      <c r="H34" s="22" t="s">
        <v>161</v>
      </c>
      <c r="I34" s="23" t="s">
        <v>162</v>
      </c>
      <c r="J34" s="27">
        <v>3.8</v>
      </c>
      <c r="K34" s="28">
        <v>3.8</v>
      </c>
      <c r="L34" s="28">
        <v>4.0999999999999996</v>
      </c>
      <c r="M34" s="52">
        <v>2.2999999999999998</v>
      </c>
      <c r="N34" s="52">
        <v>1.8</v>
      </c>
      <c r="O34" s="49">
        <v>2.2999999999999998</v>
      </c>
      <c r="P34" s="49">
        <v>1.7</v>
      </c>
      <c r="Q34" s="49" t="s">
        <v>284</v>
      </c>
      <c r="R34" s="49" t="s">
        <v>297</v>
      </c>
      <c r="S34" s="25">
        <v>19.25</v>
      </c>
      <c r="T34" s="143">
        <f t="shared" si="4"/>
        <v>11.7</v>
      </c>
      <c r="U34" s="143">
        <f>IF((VLOOKUP(Q34,MogulsDD!$A$1:$C$1000,3,FALSE)*(M34+O34)/2)&gt;3.75,3.75,VLOOKUP(Q34,MogulsDD!$A$1:$C$1000,3,FALSE)*(M34+O34)/2)+IF((VLOOKUP(R34,MogulsDD!$A$1:$C$1000,3,FALSE)*(N34+P34)/2)&gt;3.75,3.75,VLOOKUP(R34,MogulsDD!$A$1:$C$1000,3,FALSE)*(N34+P34)/2)</f>
        <v>4.4625000000000004</v>
      </c>
      <c r="V34" s="143">
        <f t="shared" si="5"/>
        <v>4.852589641434264</v>
      </c>
      <c r="W34" s="144">
        <f>(J34+K34+L34)+IF((VLOOKUP(Q34,MogulsDD!$A$1:$C$1000,3,FALSE)*(M34+O34)/2)&gt;3.75,3.75,VLOOKUP(Q34,MogulsDD!$A$1:$C$1000,3,FALSE)*(M34+O34)/2)+IF((VLOOKUP(R34,MogulsDD!$A$1:$C$1000,3,FALSE)*(N34+P34)/2)&gt;3.75,3.75,VLOOKUP(R34,MogulsDD!$A$1:$C$1000,3,FALSE)*(N34+P34)/2)+IF((18-12*S34/$J$5)&gt;7.5,7.5,IF((18-12*S34/$J$5)&lt;0,0,(18-12*S34/$J$5)))</f>
        <v>21.015089641434262</v>
      </c>
      <c r="X34" s="38"/>
      <c r="Y34" s="38"/>
      <c r="Z34" s="38"/>
      <c r="AA34" s="38"/>
      <c r="AB34" s="39"/>
      <c r="AC34" s="38"/>
      <c r="AD34" s="38"/>
      <c r="AE34" s="38"/>
      <c r="AF34" s="38"/>
      <c r="AG34" s="39"/>
      <c r="AH34" s="38"/>
      <c r="AI34" s="38"/>
      <c r="AJ34" s="38"/>
      <c r="AK34" s="38"/>
      <c r="AL34" s="39"/>
      <c r="AM34" s="44"/>
      <c r="AN34" s="39"/>
      <c r="AO34" s="37"/>
      <c r="AP34" s="37"/>
    </row>
    <row r="35" spans="1:42">
      <c r="A35" s="19">
        <f t="shared" si="3"/>
        <v>5</v>
      </c>
      <c r="B35" s="32">
        <v>56</v>
      </c>
      <c r="C35" s="22">
        <v>2</v>
      </c>
      <c r="D35" s="22" t="s">
        <v>172</v>
      </c>
      <c r="E35" s="22">
        <v>2531748</v>
      </c>
      <c r="F35" s="22" t="s">
        <v>173</v>
      </c>
      <c r="G35" s="22" t="s">
        <v>239</v>
      </c>
      <c r="H35" s="22" t="s">
        <v>174</v>
      </c>
      <c r="I35" s="23" t="s">
        <v>175</v>
      </c>
      <c r="J35" s="27">
        <v>3.6</v>
      </c>
      <c r="K35" s="28">
        <v>3.8</v>
      </c>
      <c r="L35" s="28">
        <v>3.6</v>
      </c>
      <c r="M35" s="52">
        <v>2.2999999999999998</v>
      </c>
      <c r="N35" s="52">
        <v>2.1</v>
      </c>
      <c r="O35" s="49">
        <v>2.2999999999999998</v>
      </c>
      <c r="P35" s="49">
        <v>2</v>
      </c>
      <c r="Q35" s="49" t="s">
        <v>270</v>
      </c>
      <c r="R35" s="49" t="s">
        <v>293</v>
      </c>
      <c r="S35" s="25">
        <v>17.72</v>
      </c>
      <c r="T35" s="143">
        <f t="shared" si="4"/>
        <v>11</v>
      </c>
      <c r="U35" s="143">
        <f>IF((VLOOKUP(Q35,MogulsDD!$A$1:$C$1000,3,FALSE)*(M35+O35)/2)&gt;3.75,3.75,VLOOKUP(Q35,MogulsDD!$A$1:$C$1000,3,FALSE)*(M35+O35)/2)+IF((VLOOKUP(R35,MogulsDD!$A$1:$C$1000,3,FALSE)*(N35+P35)/2)&gt;3.75,3.75,VLOOKUP(R35,MogulsDD!$A$1:$C$1000,3,FALSE)*(N35+P35)/2)</f>
        <v>4.4239999999999995</v>
      </c>
      <c r="V35" s="143">
        <f t="shared" si="5"/>
        <v>5.8975526465566315</v>
      </c>
      <c r="W35" s="144">
        <f>(J35+K35+L35)+IF((VLOOKUP(Q35,MogulsDD!$A$1:$C$1000,3,FALSE)*(M35+O35)/2)&gt;3.75,3.75,VLOOKUP(Q35,MogulsDD!$A$1:$C$1000,3,FALSE)*(M35+O35)/2)+IF((VLOOKUP(R35,MogulsDD!$A$1:$C$1000,3,FALSE)*(N35+P35)/2)&gt;3.75,3.75,VLOOKUP(R35,MogulsDD!$A$1:$C$1000,3,FALSE)*(N35+P35)/2)+IF((18-12*S35/$J$5)&gt;7.5,7.5,IF((18-12*S35/$J$5)&lt;0,0,(18-12*S35/$J$5)))</f>
        <v>21.321552646556633</v>
      </c>
      <c r="X35" s="38"/>
      <c r="Y35" s="38"/>
      <c r="Z35" s="38"/>
      <c r="AA35" s="38"/>
      <c r="AB35" s="39"/>
      <c r="AC35" s="38"/>
      <c r="AD35" s="38"/>
      <c r="AE35" s="38"/>
      <c r="AF35" s="38"/>
      <c r="AG35" s="39"/>
      <c r="AH35" s="38"/>
      <c r="AI35" s="38"/>
      <c r="AJ35" s="38"/>
      <c r="AK35" s="38"/>
      <c r="AL35" s="39"/>
      <c r="AM35" s="44"/>
      <c r="AN35" s="39"/>
      <c r="AO35" s="37"/>
      <c r="AP35" s="37"/>
    </row>
    <row r="36" spans="1:42">
      <c r="A36" s="19">
        <f t="shared" si="3"/>
        <v>8</v>
      </c>
      <c r="B36" s="32">
        <v>95</v>
      </c>
      <c r="C36" s="22">
        <v>17</v>
      </c>
      <c r="D36" s="22" t="s">
        <v>134</v>
      </c>
      <c r="E36" s="22"/>
      <c r="F36" s="22" t="s">
        <v>135</v>
      </c>
      <c r="G36" s="22" t="s">
        <v>138</v>
      </c>
      <c r="H36" s="22" t="s">
        <v>136</v>
      </c>
      <c r="I36" s="23" t="s">
        <v>137</v>
      </c>
      <c r="J36" s="27">
        <v>4</v>
      </c>
      <c r="K36" s="28">
        <v>3.7</v>
      </c>
      <c r="L36" s="28">
        <v>4.0999999999999996</v>
      </c>
      <c r="M36" s="52">
        <v>1.9</v>
      </c>
      <c r="N36" s="52">
        <v>1.3</v>
      </c>
      <c r="O36" s="49">
        <v>2.4</v>
      </c>
      <c r="P36" s="49">
        <v>1.1000000000000001</v>
      </c>
      <c r="Q36" s="49" t="s">
        <v>284</v>
      </c>
      <c r="R36" s="49" t="s">
        <v>298</v>
      </c>
      <c r="S36" s="25">
        <v>21.49</v>
      </c>
      <c r="T36" s="143">
        <f t="shared" si="4"/>
        <v>11.8</v>
      </c>
      <c r="U36" s="143">
        <f>IF((VLOOKUP(Q36,MogulsDD!$A$1:$C$1000,3,FALSE)*(M36+O36)/2)&gt;3.75,3.75,VLOOKUP(Q36,MogulsDD!$A$1:$C$1000,3,FALSE)*(M36+O36)/2)+IF((VLOOKUP(R36,MogulsDD!$A$1:$C$1000,3,FALSE)*(N36+P36)/2)&gt;3.75,3.75,VLOOKUP(R36,MogulsDD!$A$1:$C$1000,3,FALSE)*(N36+P36)/2)</f>
        <v>3.7454999999999998</v>
      </c>
      <c r="V36" s="143">
        <f t="shared" si="5"/>
        <v>3.3227091633466141</v>
      </c>
      <c r="W36" s="144">
        <f>(J36+K36+L36)+IF((VLOOKUP(Q36,MogulsDD!$A$1:$C$1000,3,FALSE)*(M36+O36)/2)&gt;3.75,3.75,VLOOKUP(Q36,MogulsDD!$A$1:$C$1000,3,FALSE)*(M36+O36)/2)+IF((VLOOKUP(R36,MogulsDD!$A$1:$C$1000,3,FALSE)*(N36+P36)/2)&gt;3.75,3.75,VLOOKUP(R36,MogulsDD!$A$1:$C$1000,3,FALSE)*(N36+P36)/2)+IF((18-12*S36/$J$5)&gt;7.5,7.5,IF((18-12*S36/$J$5)&lt;0,0,(18-12*S36/$J$5)))</f>
        <v>18.868209163346613</v>
      </c>
      <c r="X36" s="38"/>
      <c r="Y36" s="38"/>
      <c r="Z36" s="38"/>
      <c r="AA36" s="38"/>
      <c r="AB36" s="39"/>
      <c r="AC36" s="38"/>
      <c r="AD36" s="38"/>
      <c r="AE36" s="38"/>
      <c r="AF36" s="38"/>
      <c r="AG36" s="39"/>
      <c r="AH36" s="38"/>
      <c r="AI36" s="38"/>
      <c r="AJ36" s="38"/>
      <c r="AK36" s="38"/>
      <c r="AL36" s="39"/>
      <c r="AM36" s="44"/>
      <c r="AN36" s="39"/>
      <c r="AO36" s="37"/>
      <c r="AP36" s="37"/>
    </row>
    <row r="37" spans="1:42">
      <c r="A37" s="19">
        <f t="shared" si="3"/>
        <v>7</v>
      </c>
      <c r="B37" s="32">
        <v>18</v>
      </c>
      <c r="C37" s="22">
        <v>15</v>
      </c>
      <c r="D37" s="22" t="s">
        <v>123</v>
      </c>
      <c r="E37" s="22">
        <v>2531086</v>
      </c>
      <c r="F37" s="22" t="s">
        <v>124</v>
      </c>
      <c r="G37" s="22" t="s">
        <v>122</v>
      </c>
      <c r="H37" s="22" t="s">
        <v>125</v>
      </c>
      <c r="I37" s="23" t="s">
        <v>126</v>
      </c>
      <c r="J37" s="27">
        <v>3.8</v>
      </c>
      <c r="K37" s="28">
        <v>3.8</v>
      </c>
      <c r="L37" s="28">
        <v>4</v>
      </c>
      <c r="M37" s="52">
        <v>1.8</v>
      </c>
      <c r="N37" s="52">
        <v>1.3</v>
      </c>
      <c r="O37" s="49">
        <v>1.7</v>
      </c>
      <c r="P37" s="49">
        <v>1.4</v>
      </c>
      <c r="Q37" s="49" t="s">
        <v>276</v>
      </c>
      <c r="R37" s="49" t="s">
        <v>286</v>
      </c>
      <c r="S37" s="25">
        <v>19.38</v>
      </c>
      <c r="T37" s="143">
        <f t="shared" si="4"/>
        <v>11.6</v>
      </c>
      <c r="U37" s="143">
        <f>IF((VLOOKUP(Q37,MogulsDD!$A$1:$C$1000,3,FALSE)*(M37+O37)/2)&gt;3.75,3.75,VLOOKUP(Q37,MogulsDD!$A$1:$C$1000,3,FALSE)*(M37+O37)/2)+IF((VLOOKUP(R37,MogulsDD!$A$1:$C$1000,3,FALSE)*(N37+P37)/2)&gt;3.75,3.75,VLOOKUP(R37,MogulsDD!$A$1:$C$1000,3,FALSE)*(N37+P37)/2)</f>
        <v>3.3090000000000002</v>
      </c>
      <c r="V37" s="143">
        <f t="shared" si="5"/>
        <v>4.7638019351166765</v>
      </c>
      <c r="W37" s="144">
        <f>(J37+K37+L37)+IF((VLOOKUP(Q37,MogulsDD!$A$1:$C$1000,3,FALSE)*(M37+O37)/2)&gt;3.75,3.75,VLOOKUP(Q37,MogulsDD!$A$1:$C$1000,3,FALSE)*(M37+O37)/2)+IF((VLOOKUP(R37,MogulsDD!$A$1:$C$1000,3,FALSE)*(N37+P37)/2)&gt;3.75,3.75,VLOOKUP(R37,MogulsDD!$A$1:$C$1000,3,FALSE)*(N37+P37)/2)+IF((18-12*S37/$J$5)&gt;7.5,7.5,IF((18-12*S37/$J$5)&lt;0,0,(18-12*S37/$J$5)))</f>
        <v>19.672801935116677</v>
      </c>
      <c r="X37" s="38"/>
      <c r="Y37" s="38"/>
      <c r="Z37" s="38"/>
      <c r="AA37" s="38"/>
      <c r="AB37" s="39"/>
      <c r="AC37" s="38"/>
      <c r="AD37" s="38"/>
      <c r="AE37" s="38"/>
      <c r="AF37" s="38"/>
      <c r="AG37" s="39"/>
      <c r="AH37" s="38"/>
      <c r="AI37" s="38"/>
      <c r="AJ37" s="38"/>
      <c r="AK37" s="38"/>
      <c r="AL37" s="39"/>
      <c r="AM37" s="44"/>
      <c r="AN37" s="39"/>
      <c r="AO37" s="37"/>
      <c r="AP37" s="37"/>
    </row>
    <row r="38" spans="1:42">
      <c r="A38" s="19">
        <f t="shared" si="3"/>
        <v>10</v>
      </c>
      <c r="B38" s="32">
        <v>44</v>
      </c>
      <c r="C38" s="22">
        <v>3</v>
      </c>
      <c r="D38" s="22" t="s">
        <v>110</v>
      </c>
      <c r="E38" s="22">
        <v>2531950</v>
      </c>
      <c r="F38" s="22" t="s">
        <v>106</v>
      </c>
      <c r="G38" s="22" t="s">
        <v>122</v>
      </c>
      <c r="H38" s="22" t="s">
        <v>102</v>
      </c>
      <c r="I38" s="23" t="s">
        <v>103</v>
      </c>
      <c r="J38" s="27">
        <v>3.8</v>
      </c>
      <c r="K38" s="28">
        <v>3.7</v>
      </c>
      <c r="L38" s="28">
        <v>3.4</v>
      </c>
      <c r="M38" s="52">
        <v>0.9</v>
      </c>
      <c r="N38" s="52">
        <v>1.8</v>
      </c>
      <c r="O38" s="49">
        <v>1</v>
      </c>
      <c r="P38" s="49">
        <v>1.9</v>
      </c>
      <c r="Q38" s="49" t="s">
        <v>61</v>
      </c>
      <c r="R38" s="49" t="s">
        <v>272</v>
      </c>
      <c r="S38" s="25">
        <v>19.78</v>
      </c>
      <c r="T38" s="143">
        <f t="shared" si="4"/>
        <v>10.9</v>
      </c>
      <c r="U38" s="143">
        <f>IF((VLOOKUP(Q38,MogulsDD!$A$1:$C$1000,3,FALSE)*(M38+O38)/2)&gt;3.75,3.75,VLOOKUP(Q38,MogulsDD!$A$1:$C$1000,3,FALSE)*(M38+O38)/2)+IF((VLOOKUP(R38,MogulsDD!$A$1:$C$1000,3,FALSE)*(N38+P38)/2)&gt;3.75,3.75,VLOOKUP(R38,MogulsDD!$A$1:$C$1000,3,FALSE)*(N38+P38)/2)</f>
        <v>3.0325000000000002</v>
      </c>
      <c r="V38" s="143">
        <f t="shared" si="5"/>
        <v>4.4906089926010235</v>
      </c>
      <c r="W38" s="144">
        <f>(J38+K38+L38)+IF((VLOOKUP(Q38,MogulsDD!$A$1:$C$1000,3,FALSE)*(M38+O38)/2)&gt;3.75,3.75,VLOOKUP(Q38,MogulsDD!$A$1:$C$1000,3,FALSE)*(M38+O38)/2)+IF((VLOOKUP(R38,MogulsDD!$A$1:$C$1000,3,FALSE)*(N38+P38)/2)&gt;3.75,3.75,VLOOKUP(R38,MogulsDD!$A$1:$C$1000,3,FALSE)*(N38+P38)/2)+IF((18-12*S38/$J$5)&gt;7.5,7.5,IF((18-12*S38/$J$5)&lt;0,0,(18-12*S38/$J$5)))</f>
        <v>18.423108992601023</v>
      </c>
      <c r="X38" s="38"/>
      <c r="Y38" s="38"/>
      <c r="Z38" s="38"/>
      <c r="AA38" s="38"/>
      <c r="AB38" s="39"/>
      <c r="AC38" s="38"/>
      <c r="AD38" s="38"/>
      <c r="AE38" s="38"/>
      <c r="AF38" s="38"/>
      <c r="AG38" s="39"/>
      <c r="AH38" s="38"/>
      <c r="AI38" s="38"/>
      <c r="AJ38" s="38"/>
      <c r="AK38" s="38"/>
      <c r="AL38" s="39"/>
      <c r="AM38" s="44"/>
      <c r="AN38" s="39"/>
      <c r="AO38" s="37"/>
      <c r="AP38" s="37"/>
    </row>
    <row r="39" spans="1:42">
      <c r="A39" s="19">
        <f t="shared" si="3"/>
        <v>11</v>
      </c>
      <c r="B39" s="32">
        <v>104</v>
      </c>
      <c r="C39" s="22">
        <v>5</v>
      </c>
      <c r="D39" s="22" t="s">
        <v>112</v>
      </c>
      <c r="E39" s="22">
        <v>2530279</v>
      </c>
      <c r="F39" s="22" t="s">
        <v>113</v>
      </c>
      <c r="G39" s="22" t="s">
        <v>122</v>
      </c>
      <c r="H39" s="22" t="s">
        <v>114</v>
      </c>
      <c r="I39" s="23" t="s">
        <v>115</v>
      </c>
      <c r="J39" s="27">
        <v>3.6</v>
      </c>
      <c r="K39" s="28">
        <v>3.7</v>
      </c>
      <c r="L39" s="28">
        <v>3.2</v>
      </c>
      <c r="M39" s="52">
        <v>1.6</v>
      </c>
      <c r="N39" s="52">
        <v>1.6</v>
      </c>
      <c r="O39" s="49">
        <v>1.6</v>
      </c>
      <c r="P39" s="49">
        <v>1.8</v>
      </c>
      <c r="Q39" s="49" t="s">
        <v>61</v>
      </c>
      <c r="R39" s="49" t="s">
        <v>286</v>
      </c>
      <c r="S39" s="25">
        <v>21.63</v>
      </c>
      <c r="T39" s="143">
        <f t="shared" si="4"/>
        <v>10.5</v>
      </c>
      <c r="U39" s="143">
        <f>IF((VLOOKUP(Q39,MogulsDD!$A$1:$C$1000,3,FALSE)*(M39+O39)/2)&gt;3.75,3.75,VLOOKUP(Q39,MogulsDD!$A$1:$C$1000,3,FALSE)*(M39+O39)/2)+IF((VLOOKUP(R39,MogulsDD!$A$1:$C$1000,3,FALSE)*(N39+P39)/2)&gt;3.75,3.75,VLOOKUP(R39,MogulsDD!$A$1:$C$1000,3,FALSE)*(N39+P39)/2)</f>
        <v>3.5330000000000004</v>
      </c>
      <c r="V39" s="143">
        <f t="shared" si="5"/>
        <v>3.2270916334661361</v>
      </c>
      <c r="W39" s="144">
        <f>(J39+K39+L39)+IF((VLOOKUP(Q39,MogulsDD!$A$1:$C$1000,3,FALSE)*(M39+O39)/2)&gt;3.75,3.75,VLOOKUP(Q39,MogulsDD!$A$1:$C$1000,3,FALSE)*(M39+O39)/2)+IF((VLOOKUP(R39,MogulsDD!$A$1:$C$1000,3,FALSE)*(N39+P39)/2)&gt;3.75,3.75,VLOOKUP(R39,MogulsDD!$A$1:$C$1000,3,FALSE)*(N39+P39)/2)+IF((18-12*S39/$J$5)&gt;7.5,7.5,IF((18-12*S39/$J$5)&lt;0,0,(18-12*S39/$J$5)))</f>
        <v>17.260091633466136</v>
      </c>
      <c r="X39" s="38"/>
      <c r="Y39" s="38"/>
      <c r="Z39" s="38"/>
      <c r="AA39" s="38"/>
      <c r="AB39" s="39"/>
      <c r="AC39" s="38"/>
      <c r="AD39" s="38"/>
      <c r="AE39" s="38"/>
      <c r="AF39" s="38"/>
      <c r="AG39" s="39"/>
      <c r="AH39" s="38"/>
      <c r="AI39" s="38"/>
      <c r="AJ39" s="38"/>
      <c r="AK39" s="38"/>
      <c r="AL39" s="39"/>
      <c r="AM39" s="44"/>
      <c r="AN39" s="39"/>
      <c r="AO39" s="37"/>
      <c r="AP39" s="37"/>
    </row>
    <row r="40" spans="1:42">
      <c r="A40" s="19">
        <f t="shared" si="3"/>
        <v>9</v>
      </c>
      <c r="B40" s="32">
        <v>81</v>
      </c>
      <c r="C40" s="22">
        <v>11</v>
      </c>
      <c r="D40" s="22" t="s">
        <v>205</v>
      </c>
      <c r="E40" s="22">
        <v>2530651</v>
      </c>
      <c r="F40" s="22" t="s">
        <v>206</v>
      </c>
      <c r="G40" s="22" t="s">
        <v>207</v>
      </c>
      <c r="H40" s="22" t="s">
        <v>243</v>
      </c>
      <c r="I40" s="23" t="s">
        <v>126</v>
      </c>
      <c r="J40" s="27">
        <v>3.6</v>
      </c>
      <c r="K40" s="28">
        <v>3.5</v>
      </c>
      <c r="L40" s="28">
        <v>3.1</v>
      </c>
      <c r="M40" s="52">
        <v>1.7</v>
      </c>
      <c r="N40" s="52">
        <v>0.9</v>
      </c>
      <c r="O40" s="49">
        <v>1.8</v>
      </c>
      <c r="P40" s="49">
        <v>0.9</v>
      </c>
      <c r="Q40" s="49" t="s">
        <v>284</v>
      </c>
      <c r="R40" s="49" t="s">
        <v>297</v>
      </c>
      <c r="S40" s="25">
        <v>18.29</v>
      </c>
      <c r="T40" s="143">
        <f t="shared" si="4"/>
        <v>10.199999999999999</v>
      </c>
      <c r="U40" s="143">
        <f>IF((VLOOKUP(Q40,MogulsDD!$A$1:$C$1000,3,FALSE)*(M40+O40)/2)&gt;3.75,3.75,VLOOKUP(Q40,MogulsDD!$A$1:$C$1000,3,FALSE)*(M40+O40)/2)+IF((VLOOKUP(R40,MogulsDD!$A$1:$C$1000,3,FALSE)*(N40+P40)/2)&gt;3.75,3.75,VLOOKUP(R40,MogulsDD!$A$1:$C$1000,3,FALSE)*(N40+P40)/2)</f>
        <v>2.8905000000000003</v>
      </c>
      <c r="V40" s="143">
        <f t="shared" si="5"/>
        <v>5.5082527034718272</v>
      </c>
      <c r="W40" s="144">
        <f>(J40+K40+L40)+IF((VLOOKUP(Q40,MogulsDD!$A$1:$C$1000,3,FALSE)*(M40+O40)/2)&gt;3.75,3.75,VLOOKUP(Q40,MogulsDD!$A$1:$C$1000,3,FALSE)*(M40+O40)/2)+IF((VLOOKUP(R40,MogulsDD!$A$1:$C$1000,3,FALSE)*(N40+P40)/2)&gt;3.75,3.75,VLOOKUP(R40,MogulsDD!$A$1:$C$1000,3,FALSE)*(N40+P40)/2)+IF((18-12*S40/$J$5)&gt;7.5,7.5,IF((18-12*S40/$J$5)&lt;0,0,(18-12*S40/$J$5)))</f>
        <v>18.598752703471824</v>
      </c>
      <c r="X40" s="38"/>
      <c r="Y40" s="38"/>
      <c r="Z40" s="38"/>
      <c r="AA40" s="38"/>
      <c r="AB40" s="39"/>
      <c r="AC40" s="38"/>
      <c r="AD40" s="38"/>
      <c r="AE40" s="38"/>
      <c r="AF40" s="38"/>
      <c r="AG40" s="39"/>
      <c r="AH40" s="38"/>
      <c r="AI40" s="38"/>
      <c r="AJ40" s="38"/>
      <c r="AK40" s="38"/>
      <c r="AL40" s="39"/>
      <c r="AM40" s="44"/>
      <c r="AN40" s="39"/>
      <c r="AO40" s="37"/>
      <c r="AP40" s="37"/>
    </row>
    <row r="41" spans="1:42" ht="13.8" thickBot="1">
      <c r="A41" s="19">
        <f t="shared" si="3"/>
        <v>12</v>
      </c>
      <c r="B41" s="13">
        <v>3</v>
      </c>
      <c r="C41" s="22">
        <v>8</v>
      </c>
      <c r="D41" s="14" t="s">
        <v>156</v>
      </c>
      <c r="E41" s="14">
        <v>2532116</v>
      </c>
      <c r="F41" s="14" t="s">
        <v>157</v>
      </c>
      <c r="G41" s="14" t="s">
        <v>122</v>
      </c>
      <c r="H41" s="14" t="s">
        <v>158</v>
      </c>
      <c r="I41" s="18" t="s">
        <v>128</v>
      </c>
      <c r="J41" s="29">
        <v>3.5</v>
      </c>
      <c r="K41" s="30">
        <v>3.3</v>
      </c>
      <c r="L41" s="30">
        <v>3.2</v>
      </c>
      <c r="M41" s="53">
        <v>1.8</v>
      </c>
      <c r="N41" s="53">
        <v>1.4</v>
      </c>
      <c r="O41" s="50">
        <v>1.5</v>
      </c>
      <c r="P41" s="50">
        <v>1.6</v>
      </c>
      <c r="Q41" s="49" t="s">
        <v>287</v>
      </c>
      <c r="R41" s="49" t="s">
        <v>273</v>
      </c>
      <c r="S41" s="25">
        <v>20.46</v>
      </c>
      <c r="T41" s="143">
        <f t="shared" si="4"/>
        <v>10</v>
      </c>
      <c r="U41" s="143">
        <f>IF((VLOOKUP(Q41,MogulsDD!$A$1:$C$1000,3,FALSE)*(M41+O41)/2)&gt;3.75,3.75,VLOOKUP(Q41,MogulsDD!$A$1:$C$1000,3,FALSE)*(M41+O41)/2)+IF((VLOOKUP(R41,MogulsDD!$A$1:$C$1000,3,FALSE)*(N41+P41)/2)&gt;3.75,3.75,VLOOKUP(R41,MogulsDD!$A$1:$C$1000,3,FALSE)*(N41+P41)/2)</f>
        <v>2.4944999999999999</v>
      </c>
      <c r="V41" s="143">
        <f t="shared" si="5"/>
        <v>4.0261809903244163</v>
      </c>
      <c r="W41" s="144">
        <f>(J41+K41+L41)+IF((VLOOKUP(Q41,MogulsDD!$A$1:$C$1000,3,FALSE)*(M41+O41)/2)&gt;3.75,3.75,VLOOKUP(Q41,MogulsDD!$A$1:$C$1000,3,FALSE)*(M41+O41)/2)+IF((VLOOKUP(R41,MogulsDD!$A$1:$C$1000,3,FALSE)*(N41+P41)/2)&gt;3.75,3.75,VLOOKUP(R41,MogulsDD!$A$1:$C$1000,3,FALSE)*(N41+P41)/2)+IF((18-12*S41/$J$5)&gt;7.5,7.5,IF((18-12*S41/$J$5)&lt;0,0,(18-12*S41/$J$5)))</f>
        <v>16.520680990324415</v>
      </c>
      <c r="X41" s="38"/>
      <c r="Y41" s="38"/>
      <c r="Z41" s="38"/>
      <c r="AA41" s="38"/>
      <c r="AB41" s="39"/>
      <c r="AC41" s="38"/>
      <c r="AD41" s="38"/>
      <c r="AE41" s="38"/>
      <c r="AF41" s="38"/>
      <c r="AG41" s="39"/>
      <c r="AH41" s="38"/>
      <c r="AI41" s="38"/>
      <c r="AJ41" s="38"/>
      <c r="AK41" s="38"/>
      <c r="AL41" s="39"/>
      <c r="AM41" s="44"/>
      <c r="AN41" s="39"/>
      <c r="AO41" s="37"/>
      <c r="AP41" s="37"/>
    </row>
    <row r="42" spans="1:42">
      <c r="A42" s="19">
        <f t="shared" si="3"/>
        <v>14</v>
      </c>
      <c r="B42" s="15">
        <v>25</v>
      </c>
      <c r="C42" s="22">
        <v>10</v>
      </c>
      <c r="D42" s="16" t="s">
        <v>130</v>
      </c>
      <c r="E42" s="16"/>
      <c r="F42" s="16" t="s">
        <v>131</v>
      </c>
      <c r="G42" s="16" t="s">
        <v>122</v>
      </c>
      <c r="H42" s="16" t="s">
        <v>132</v>
      </c>
      <c r="I42" s="17" t="s">
        <v>133</v>
      </c>
      <c r="J42" s="107">
        <v>3</v>
      </c>
      <c r="K42" s="25">
        <v>3</v>
      </c>
      <c r="L42" s="25">
        <v>2.7</v>
      </c>
      <c r="M42" s="51">
        <v>1.7</v>
      </c>
      <c r="N42" s="51">
        <v>1.9</v>
      </c>
      <c r="O42" s="49">
        <v>1.6</v>
      </c>
      <c r="P42" s="49">
        <v>1.6</v>
      </c>
      <c r="Q42" s="49" t="s">
        <v>270</v>
      </c>
      <c r="R42" s="49" t="s">
        <v>274</v>
      </c>
      <c r="S42" s="25">
        <v>21.44</v>
      </c>
      <c r="T42" s="143">
        <f t="shared" si="4"/>
        <v>8.6999999999999993</v>
      </c>
      <c r="U42" s="143">
        <f>IF((VLOOKUP(Q42,MogulsDD!$A$1:$C$1000,3,FALSE)*(M42+O42)/2)&gt;3.75,3.75,VLOOKUP(Q42,MogulsDD!$A$1:$C$1000,3,FALSE)*(M42+O42)/2)+IF((VLOOKUP(R42,MogulsDD!$A$1:$C$1000,3,FALSE)*(N42+P42)/2)&gt;3.75,3.75,VLOOKUP(R42,MogulsDD!$A$1:$C$1000,3,FALSE)*(N42+P42)/2)</f>
        <v>2.8174999999999999</v>
      </c>
      <c r="V42" s="143">
        <f t="shared" si="5"/>
        <v>3.3568582811610685</v>
      </c>
      <c r="W42" s="144">
        <f>(J42+K42+L42)+IF((VLOOKUP(Q42,MogulsDD!$A$1:$C$1000,3,FALSE)*(M42+O42)/2)&gt;3.75,3.75,VLOOKUP(Q42,MogulsDD!$A$1:$C$1000,3,FALSE)*(M42+O42)/2)+IF((VLOOKUP(R42,MogulsDD!$A$1:$C$1000,3,FALSE)*(N42+P42)/2)&gt;3.75,3.75,VLOOKUP(R42,MogulsDD!$A$1:$C$1000,3,FALSE)*(N42+P42)/2)+IF((18-12*S42/$J$5)&gt;7.5,7.5,IF((18-12*S42/$J$5)&lt;0,0,(18-12*S42/$J$5)))</f>
        <v>14.874358281161067</v>
      </c>
      <c r="X42" s="38"/>
      <c r="Y42" s="38"/>
      <c r="Z42" s="38"/>
      <c r="AA42" s="38"/>
      <c r="AB42" s="39"/>
      <c r="AC42" s="38"/>
      <c r="AD42" s="38"/>
      <c r="AE42" s="38"/>
      <c r="AF42" s="38"/>
      <c r="AG42" s="39"/>
      <c r="AH42" s="38"/>
      <c r="AI42" s="38"/>
      <c r="AJ42" s="38"/>
      <c r="AK42" s="38"/>
      <c r="AL42" s="39"/>
      <c r="AM42" s="44"/>
      <c r="AN42" s="39"/>
      <c r="AO42" s="37"/>
      <c r="AP42" s="37"/>
    </row>
    <row r="43" spans="1:42">
      <c r="A43" s="19">
        <f t="shared" si="3"/>
        <v>13</v>
      </c>
      <c r="B43" s="32">
        <v>109</v>
      </c>
      <c r="C43" s="22">
        <v>22</v>
      </c>
      <c r="D43" s="22" t="s">
        <v>199</v>
      </c>
      <c r="E43" s="22">
        <v>2528447</v>
      </c>
      <c r="F43" s="22" t="s">
        <v>200</v>
      </c>
      <c r="G43" s="22" t="s">
        <v>122</v>
      </c>
      <c r="H43" s="22" t="s">
        <v>201</v>
      </c>
      <c r="I43" s="23" t="s">
        <v>202</v>
      </c>
      <c r="J43" s="35">
        <v>2.2000000000000002</v>
      </c>
      <c r="K43" s="28">
        <v>2.6</v>
      </c>
      <c r="L43" s="28">
        <v>2.4</v>
      </c>
      <c r="M43" s="52">
        <v>1.8</v>
      </c>
      <c r="N43" s="52">
        <v>1.4</v>
      </c>
      <c r="O43" s="49">
        <v>2</v>
      </c>
      <c r="P43" s="49">
        <v>1.5</v>
      </c>
      <c r="Q43" s="49" t="s">
        <v>284</v>
      </c>
      <c r="R43" s="49" t="s">
        <v>27</v>
      </c>
      <c r="S43" s="25">
        <v>20.190000000000001</v>
      </c>
      <c r="T43" s="143">
        <f t="shared" si="4"/>
        <v>7.2000000000000011</v>
      </c>
      <c r="U43" s="143">
        <f>IF((VLOOKUP(Q43,MogulsDD!$A$1:$C$1000,3,FALSE)*(M43+O43)/2)&gt;3.75,3.75,VLOOKUP(Q43,MogulsDD!$A$1:$C$1000,3,FALSE)*(M43+O43)/2)+IF((VLOOKUP(R43,MogulsDD!$A$1:$C$1000,3,FALSE)*(N43+P43)/2)&gt;3.75,3.75,VLOOKUP(R43,MogulsDD!$A$1:$C$1000,3,FALSE)*(N43+P43)/2)</f>
        <v>3.5175000000000001</v>
      </c>
      <c r="V43" s="143">
        <f t="shared" si="5"/>
        <v>4.21058622652248</v>
      </c>
      <c r="W43" s="144">
        <f>(J43+K43+L43)+IF((VLOOKUP(Q43,MogulsDD!$A$1:$C$1000,3,FALSE)*(M43+O43)/2)&gt;3.75,3.75,VLOOKUP(Q43,MogulsDD!$A$1:$C$1000,3,FALSE)*(M43+O43)/2)+IF((VLOOKUP(R43,MogulsDD!$A$1:$C$1000,3,FALSE)*(N43+P43)/2)&gt;3.75,3.75,VLOOKUP(R43,MogulsDD!$A$1:$C$1000,3,FALSE)*(N43+P43)/2)+IF((18-12*S43/$J$5)&gt;7.5,7.5,IF((18-12*S43/$J$5)&lt;0,0,(18-12*S43/$J$5)))</f>
        <v>14.928086226522481</v>
      </c>
      <c r="X43" s="38"/>
      <c r="Y43" s="38"/>
      <c r="Z43" s="38"/>
      <c r="AA43" s="38"/>
      <c r="AB43" s="39"/>
      <c r="AC43" s="38"/>
      <c r="AD43" s="38"/>
      <c r="AE43" s="38"/>
      <c r="AF43" s="38"/>
      <c r="AG43" s="39"/>
      <c r="AH43" s="38"/>
      <c r="AI43" s="38"/>
      <c r="AJ43" s="38"/>
      <c r="AK43" s="38"/>
      <c r="AL43" s="39"/>
      <c r="AM43" s="44"/>
      <c r="AN43" s="39"/>
      <c r="AO43" s="37"/>
      <c r="AP43" s="37"/>
    </row>
    <row r="44" spans="1:42">
      <c r="A44" s="19">
        <f t="shared" si="3"/>
        <v>15</v>
      </c>
      <c r="B44" s="32">
        <v>17</v>
      </c>
      <c r="C44" s="22">
        <v>19</v>
      </c>
      <c r="D44" s="22" t="s">
        <v>166</v>
      </c>
      <c r="E44" s="22"/>
      <c r="F44" s="22" t="s">
        <v>164</v>
      </c>
      <c r="G44" s="22" t="s">
        <v>209</v>
      </c>
      <c r="H44" s="22" t="s">
        <v>167</v>
      </c>
      <c r="I44" s="23" t="s">
        <v>133</v>
      </c>
      <c r="J44" s="35">
        <v>2.9</v>
      </c>
      <c r="K44" s="28">
        <v>3</v>
      </c>
      <c r="L44" s="28">
        <v>3</v>
      </c>
      <c r="M44" s="52">
        <v>1.5</v>
      </c>
      <c r="N44" s="52">
        <v>0.5</v>
      </c>
      <c r="O44" s="49">
        <v>1.2</v>
      </c>
      <c r="P44" s="49">
        <v>0.7</v>
      </c>
      <c r="Q44" s="49" t="s">
        <v>279</v>
      </c>
      <c r="R44" s="49" t="s">
        <v>275</v>
      </c>
      <c r="S44" s="25">
        <v>21</v>
      </c>
      <c r="T44" s="143">
        <f t="shared" si="4"/>
        <v>8.9</v>
      </c>
      <c r="U44" s="143">
        <f>IF((VLOOKUP(Q44,MogulsDD!$A$1:$C$1000,3,FALSE)*(M44+O44)/2)&gt;3.75,3.75,VLOOKUP(Q44,MogulsDD!$A$1:$C$1000,3,FALSE)*(M44+O44)/2)+IF((VLOOKUP(R44,MogulsDD!$A$1:$C$1000,3,FALSE)*(N44+P44)/2)&gt;3.75,3.75,VLOOKUP(R44,MogulsDD!$A$1:$C$1000,3,FALSE)*(N44+P44)/2)</f>
        <v>1.2974999999999999</v>
      </c>
      <c r="V44" s="143">
        <f t="shared" si="5"/>
        <v>3.6573705179282872</v>
      </c>
      <c r="W44" s="144">
        <f>(J44+K44+L44)+IF((VLOOKUP(Q44,MogulsDD!$A$1:$C$1000,3,FALSE)*(M44+O44)/2)&gt;3.75,3.75,VLOOKUP(Q44,MogulsDD!$A$1:$C$1000,3,FALSE)*(M44+O44)/2)+IF((VLOOKUP(R44,MogulsDD!$A$1:$C$1000,3,FALSE)*(N44+P44)/2)&gt;3.75,3.75,VLOOKUP(R44,MogulsDD!$A$1:$C$1000,3,FALSE)*(N44+P44)/2)+IF((18-12*S44/$J$5)&gt;7.5,7.5,IF((18-12*S44/$J$5)&lt;0,0,(18-12*S44/$J$5)))</f>
        <v>13.854870517928287</v>
      </c>
      <c r="X44" s="38"/>
      <c r="Y44" s="38"/>
      <c r="Z44" s="38"/>
      <c r="AA44" s="38"/>
      <c r="AB44" s="39"/>
      <c r="AC44" s="38"/>
      <c r="AD44" s="38"/>
      <c r="AE44" s="38"/>
      <c r="AF44" s="38"/>
      <c r="AG44" s="39"/>
      <c r="AH44" s="38"/>
      <c r="AI44" s="38"/>
      <c r="AJ44" s="38"/>
      <c r="AK44" s="38"/>
      <c r="AL44" s="39"/>
      <c r="AM44" s="44"/>
      <c r="AN44" s="39"/>
      <c r="AO44" s="37"/>
      <c r="AP44" s="37"/>
    </row>
    <row r="45" spans="1:42">
      <c r="A45" s="19">
        <f t="shared" si="3"/>
        <v>16</v>
      </c>
      <c r="B45" s="32">
        <v>20</v>
      </c>
      <c r="C45" s="22">
        <v>1</v>
      </c>
      <c r="D45" s="22" t="s">
        <v>107</v>
      </c>
      <c r="E45" s="22"/>
      <c r="F45" s="22" t="s">
        <v>108</v>
      </c>
      <c r="G45" s="22" t="s">
        <v>122</v>
      </c>
      <c r="H45" s="22" t="s">
        <v>109</v>
      </c>
      <c r="I45" s="23" t="s">
        <v>103</v>
      </c>
      <c r="J45" s="35">
        <v>2.2000000000000002</v>
      </c>
      <c r="K45" s="28">
        <v>2.1</v>
      </c>
      <c r="L45" s="28">
        <v>2.2000000000000002</v>
      </c>
      <c r="M45" s="52">
        <v>1.2</v>
      </c>
      <c r="N45" s="52">
        <v>1</v>
      </c>
      <c r="O45" s="49">
        <v>0.7</v>
      </c>
      <c r="P45" s="49">
        <v>1</v>
      </c>
      <c r="Q45" s="49" t="s">
        <v>287</v>
      </c>
      <c r="R45" s="49" t="s">
        <v>279</v>
      </c>
      <c r="S45" s="25">
        <v>22.98</v>
      </c>
      <c r="T45" s="143">
        <f t="shared" si="4"/>
        <v>6.5000000000000009</v>
      </c>
      <c r="U45" s="143">
        <f>IF((VLOOKUP(Q45,MogulsDD!$A$1:$C$1000,3,FALSE)*(M45+O45)/2)&gt;3.75,3.75,VLOOKUP(Q45,MogulsDD!$A$1:$C$1000,3,FALSE)*(M45+O45)/2)+IF((VLOOKUP(R45,MogulsDD!$A$1:$C$1000,3,FALSE)*(N45+P45)/2)&gt;3.75,3.75,VLOOKUP(R45,MogulsDD!$A$1:$C$1000,3,FALSE)*(N45+P45)/2)</f>
        <v>1.3984999999999999</v>
      </c>
      <c r="V45" s="143">
        <f t="shared" si="5"/>
        <v>2.3050654524758123</v>
      </c>
      <c r="W45" s="144">
        <f>(J45+K45+L45)+IF((VLOOKUP(Q45,MogulsDD!$A$1:$C$1000,3,FALSE)*(M45+O45)/2)&gt;3.75,3.75,VLOOKUP(Q45,MogulsDD!$A$1:$C$1000,3,FALSE)*(M45+O45)/2)+IF((VLOOKUP(R45,MogulsDD!$A$1:$C$1000,3,FALSE)*(N45+P45)/2)&gt;3.75,3.75,VLOOKUP(R45,MogulsDD!$A$1:$C$1000,3,FALSE)*(N45+P45)/2)+IF((18-12*S45/$J$5)&gt;7.5,7.5,IF((18-12*S45/$J$5)&lt;0,0,(18-12*S45/$J$5)))</f>
        <v>10.203565452475814</v>
      </c>
      <c r="X45" s="38"/>
      <c r="Y45" s="38"/>
      <c r="Z45" s="38"/>
      <c r="AA45" s="38"/>
      <c r="AB45" s="39"/>
      <c r="AC45" s="38"/>
      <c r="AD45" s="38"/>
      <c r="AE45" s="38"/>
      <c r="AF45" s="38"/>
      <c r="AG45" s="39"/>
      <c r="AH45" s="38"/>
      <c r="AI45" s="38"/>
      <c r="AJ45" s="38"/>
      <c r="AK45" s="38"/>
      <c r="AL45" s="39"/>
      <c r="AM45" s="44"/>
      <c r="AN45" s="39"/>
      <c r="AO45" s="37"/>
      <c r="AP45" s="37"/>
    </row>
    <row r="46" spans="1:42">
      <c r="A46" s="19">
        <f t="shared" si="3"/>
        <v>17</v>
      </c>
      <c r="B46" s="32">
        <v>84</v>
      </c>
      <c r="C46" s="22">
        <v>21</v>
      </c>
      <c r="D46" s="22" t="s">
        <v>194</v>
      </c>
      <c r="E46" s="22"/>
      <c r="F46" s="22" t="s">
        <v>192</v>
      </c>
      <c r="G46" s="22" t="s">
        <v>122</v>
      </c>
      <c r="H46" s="22" t="s">
        <v>195</v>
      </c>
      <c r="I46" s="23" t="s">
        <v>196</v>
      </c>
      <c r="J46" s="35">
        <v>2.5</v>
      </c>
      <c r="K46" s="28">
        <v>1.8</v>
      </c>
      <c r="L46" s="28">
        <v>2.4</v>
      </c>
      <c r="M46" s="52">
        <v>0.6</v>
      </c>
      <c r="N46" s="52">
        <v>0</v>
      </c>
      <c r="O46" s="49">
        <v>0.6</v>
      </c>
      <c r="P46" s="49">
        <v>0</v>
      </c>
      <c r="Q46" s="49" t="s">
        <v>280</v>
      </c>
      <c r="R46" s="49" t="s">
        <v>279</v>
      </c>
      <c r="S46" s="25">
        <v>24.45</v>
      </c>
      <c r="T46" s="143">
        <f t="shared" si="4"/>
        <v>6.6999999999999993</v>
      </c>
      <c r="U46" s="143">
        <f>IF((VLOOKUP(Q46,MogulsDD!$A$1:$C$1000,3,FALSE)*(M46+O46)/2)&gt;3.75,3.75,VLOOKUP(Q46,MogulsDD!$A$1:$C$1000,3,FALSE)*(M46+O46)/2)+IF((VLOOKUP(R46,MogulsDD!$A$1:$C$1000,3,FALSE)*(N46+P46)/2)&gt;3.75,3.75,VLOOKUP(R46,MogulsDD!$A$1:$C$1000,3,FALSE)*(N46+P46)/2)</f>
        <v>0.34200000000000003</v>
      </c>
      <c r="V46" s="143">
        <f t="shared" si="5"/>
        <v>1.3010813887307933</v>
      </c>
      <c r="W46" s="144">
        <f>(J46+K46+L46)+IF((VLOOKUP(Q46,MogulsDD!$A$1:$C$1000,3,FALSE)*(M46+O46)/2)&gt;3.75,3.75,VLOOKUP(Q46,MogulsDD!$A$1:$C$1000,3,FALSE)*(M46+O46)/2)+IF((VLOOKUP(R46,MogulsDD!$A$1:$C$1000,3,FALSE)*(N46+P46)/2)&gt;3.75,3.75,VLOOKUP(R46,MogulsDD!$A$1:$C$1000,3,FALSE)*(N46+P46)/2)+IF((18-12*S46/$J$5)&gt;7.5,7.5,IF((18-12*S46/$J$5)&lt;0,0,(18-12*S46/$J$5)))</f>
        <v>8.3430813887307913</v>
      </c>
      <c r="X46" s="38"/>
      <c r="Y46" s="38"/>
      <c r="Z46" s="38"/>
      <c r="AA46" s="38"/>
      <c r="AB46" s="39"/>
      <c r="AC46" s="38"/>
      <c r="AD46" s="38"/>
      <c r="AE46" s="38"/>
      <c r="AF46" s="38"/>
      <c r="AG46" s="39"/>
      <c r="AH46" s="38"/>
      <c r="AI46" s="38"/>
      <c r="AJ46" s="38"/>
      <c r="AK46" s="38"/>
      <c r="AL46" s="39"/>
      <c r="AM46" s="44"/>
      <c r="AN46" s="39"/>
      <c r="AO46" s="37"/>
      <c r="AP46" s="37"/>
    </row>
    <row r="47" spans="1:42">
      <c r="A47" s="19">
        <f t="shared" si="3"/>
        <v>18</v>
      </c>
      <c r="B47" s="32">
        <v>43</v>
      </c>
      <c r="C47" s="22">
        <v>18</v>
      </c>
      <c r="D47" s="22" t="s">
        <v>163</v>
      </c>
      <c r="E47" s="22"/>
      <c r="F47" s="22" t="s">
        <v>164</v>
      </c>
      <c r="G47" s="22" t="s">
        <v>209</v>
      </c>
      <c r="H47" s="22" t="s">
        <v>165</v>
      </c>
      <c r="I47" s="23" t="s">
        <v>103</v>
      </c>
      <c r="J47" s="35">
        <v>1</v>
      </c>
      <c r="K47" s="28">
        <v>1.3</v>
      </c>
      <c r="L47" s="28">
        <v>0.8</v>
      </c>
      <c r="M47" s="52">
        <v>1.5</v>
      </c>
      <c r="N47" s="52">
        <v>0.1</v>
      </c>
      <c r="O47" s="49">
        <v>1.7</v>
      </c>
      <c r="P47" s="49">
        <v>0.1</v>
      </c>
      <c r="Q47" s="49" t="s">
        <v>279</v>
      </c>
      <c r="R47" s="49" t="s">
        <v>273</v>
      </c>
      <c r="S47" s="25">
        <v>25.65</v>
      </c>
      <c r="T47" s="143">
        <f t="shared" si="4"/>
        <v>3.0999999999999996</v>
      </c>
      <c r="U47" s="143">
        <f>IF((VLOOKUP(Q47,MogulsDD!$A$1:$C$1000,3,FALSE)*(M47+O47)/2)&gt;3.75,3.75,VLOOKUP(Q47,MogulsDD!$A$1:$C$1000,3,FALSE)*(M47+O47)/2)+IF((VLOOKUP(R47,MogulsDD!$A$1:$C$1000,3,FALSE)*(N47+P47)/2)&gt;3.75,3.75,VLOOKUP(R47,MogulsDD!$A$1:$C$1000,3,FALSE)*(N47+P47)/2)</f>
        <v>1.0509999999999999</v>
      </c>
      <c r="V47" s="143">
        <f t="shared" si="5"/>
        <v>0.48150256118383794</v>
      </c>
      <c r="W47" s="144">
        <f>(J47+K47+L47)+IF((VLOOKUP(Q47,MogulsDD!$A$1:$C$1000,3,FALSE)*(M47+O47)/2)&gt;3.75,3.75,VLOOKUP(Q47,MogulsDD!$A$1:$C$1000,3,FALSE)*(M47+O47)/2)+IF((VLOOKUP(R47,MogulsDD!$A$1:$C$1000,3,FALSE)*(N47+P47)/2)&gt;3.75,3.75,VLOOKUP(R47,MogulsDD!$A$1:$C$1000,3,FALSE)*(N47+P47)/2)+IF((18-12*S47/$J$5)&gt;7.5,7.5,IF((18-12*S47/$J$5)&lt;0,0,(18-12*S47/$J$5)))</f>
        <v>4.6325025611838377</v>
      </c>
      <c r="X47" s="38"/>
      <c r="Y47" s="38"/>
      <c r="Z47" s="38"/>
      <c r="AA47" s="38"/>
      <c r="AB47" s="39"/>
      <c r="AC47" s="38"/>
      <c r="AD47" s="38"/>
      <c r="AE47" s="38"/>
      <c r="AF47" s="38"/>
      <c r="AG47" s="39"/>
      <c r="AH47" s="38"/>
      <c r="AI47" s="38"/>
      <c r="AJ47" s="38"/>
      <c r="AK47" s="38"/>
      <c r="AL47" s="39"/>
      <c r="AM47" s="44"/>
      <c r="AN47" s="39"/>
      <c r="AO47" s="37"/>
      <c r="AP47" s="37"/>
    </row>
    <row r="48" spans="1:42">
      <c r="A48" s="19">
        <f t="shared" si="3"/>
        <v>19</v>
      </c>
      <c r="B48" s="32">
        <v>15</v>
      </c>
      <c r="C48" s="22">
        <v>13</v>
      </c>
      <c r="D48" s="22" t="s">
        <v>237</v>
      </c>
      <c r="E48" s="22"/>
      <c r="F48" s="22"/>
      <c r="G48" s="22" t="s">
        <v>240</v>
      </c>
      <c r="H48" s="22" t="s">
        <v>244</v>
      </c>
      <c r="I48" s="23"/>
      <c r="J48" s="142">
        <v>0.3</v>
      </c>
      <c r="K48" s="109">
        <v>0.7</v>
      </c>
      <c r="L48" s="109">
        <v>0.8</v>
      </c>
      <c r="M48" s="110">
        <v>0.4</v>
      </c>
      <c r="N48" s="110">
        <v>0</v>
      </c>
      <c r="O48" s="56">
        <v>0.3</v>
      </c>
      <c r="P48" s="56">
        <v>0</v>
      </c>
      <c r="Q48" s="49" t="s">
        <v>275</v>
      </c>
      <c r="R48" s="49" t="s">
        <v>63</v>
      </c>
      <c r="S48" s="25">
        <v>24.9</v>
      </c>
      <c r="T48" s="143">
        <f t="shared" si="4"/>
        <v>1.8</v>
      </c>
      <c r="U48" s="143">
        <f>IF((VLOOKUP(Q48,MogulsDD!$A$1:$C$1000,3,FALSE)*(M48+O48)/2)&gt;3.75,3.75,VLOOKUP(Q48,MogulsDD!$A$1:$C$1000,3,FALSE)*(M48+O48)/2)+IF((VLOOKUP(R48,MogulsDD!$A$1:$C$1000,3,FALSE)*(N48+P48)/2)&gt;3.75,3.75,VLOOKUP(R48,MogulsDD!$A$1:$C$1000,3,FALSE)*(N48+P48)/2)</f>
        <v>0.27649999999999997</v>
      </c>
      <c r="V48" s="143">
        <f t="shared" si="5"/>
        <v>0.99373932840068591</v>
      </c>
      <c r="W48" s="144">
        <f>(J48+K48+L48)+IF((VLOOKUP(Q48,MogulsDD!$A$1:$C$1000,3,FALSE)*(M48+O48)/2)&gt;3.75,3.75,VLOOKUP(Q48,MogulsDD!$A$1:$C$1000,3,FALSE)*(M48+O48)/2)+IF((VLOOKUP(R48,MogulsDD!$A$1:$C$1000,3,FALSE)*(N48+P48)/2)&gt;3.75,3.75,VLOOKUP(R48,MogulsDD!$A$1:$C$1000,3,FALSE)*(N48+P48)/2)+IF((18-12*S48/$J$5)&gt;7.5,7.5,IF((18-12*S48/$J$5)&lt;0,0,(18-12*S48/$J$5)))</f>
        <v>3.0702393284006861</v>
      </c>
      <c r="X48" s="38"/>
      <c r="Y48" s="38"/>
      <c r="Z48" s="38"/>
      <c r="AA48" s="38"/>
      <c r="AB48" s="39"/>
      <c r="AC48" s="38"/>
      <c r="AD48" s="38"/>
      <c r="AE48" s="38"/>
      <c r="AF48" s="38"/>
      <c r="AG48" s="39"/>
      <c r="AH48" s="38"/>
      <c r="AI48" s="38"/>
      <c r="AJ48" s="38"/>
      <c r="AK48" s="38"/>
      <c r="AL48" s="39"/>
      <c r="AM48" s="44"/>
      <c r="AN48" s="39"/>
      <c r="AO48" s="37"/>
      <c r="AP48" s="37"/>
    </row>
    <row r="49" spans="1:42">
      <c r="A49" s="19">
        <f t="shared" si="3"/>
        <v>20</v>
      </c>
      <c r="B49" s="32">
        <v>36</v>
      </c>
      <c r="C49" s="22">
        <v>16</v>
      </c>
      <c r="D49" s="22" t="s">
        <v>188</v>
      </c>
      <c r="E49" s="22"/>
      <c r="F49" s="22" t="s">
        <v>189</v>
      </c>
      <c r="G49" s="22" t="s">
        <v>122</v>
      </c>
      <c r="H49" s="22" t="s">
        <v>190</v>
      </c>
      <c r="I49" s="23" t="s">
        <v>121</v>
      </c>
      <c r="J49" s="35">
        <v>0</v>
      </c>
      <c r="K49" s="28">
        <v>0</v>
      </c>
      <c r="L49" s="28">
        <v>0</v>
      </c>
      <c r="M49" s="52">
        <v>0</v>
      </c>
      <c r="N49" s="52">
        <v>0</v>
      </c>
      <c r="O49" s="49">
        <v>0</v>
      </c>
      <c r="P49" s="49">
        <v>0</v>
      </c>
      <c r="Q49" s="49" t="s">
        <v>63</v>
      </c>
      <c r="R49" s="49" t="s">
        <v>63</v>
      </c>
      <c r="S49" s="25">
        <v>9999</v>
      </c>
      <c r="T49" s="143">
        <f t="shared" si="4"/>
        <v>0</v>
      </c>
      <c r="U49" s="143">
        <f>IF((VLOOKUP(Q49,MogulsDD!$A$1:$C$1000,3,FALSE)*(M49+O49)/2)&gt;3.75,3.75,VLOOKUP(Q49,MogulsDD!$A$1:$C$1000,3,FALSE)*(M49+O49)/2)+IF((VLOOKUP(R49,MogulsDD!$A$1:$C$1000,3,FALSE)*(N49+P49)/2)&gt;3.75,3.75,VLOOKUP(R49,MogulsDD!$A$1:$C$1000,3,FALSE)*(N49+P49)/2)</f>
        <v>0</v>
      </c>
      <c r="V49" s="143">
        <f t="shared" si="5"/>
        <v>0</v>
      </c>
      <c r="W49" s="144">
        <f>(J49+K49+L49)+IF((VLOOKUP(Q49,MogulsDD!$A$1:$C$1000,3,FALSE)*(M49+O49)/2)&gt;3.75,3.75,VLOOKUP(Q49,MogulsDD!$A$1:$C$1000,3,FALSE)*(M49+O49)/2)+IF((VLOOKUP(R49,MogulsDD!$A$1:$C$1000,3,FALSE)*(N49+P49)/2)&gt;3.75,3.75,VLOOKUP(R49,MogulsDD!$A$1:$C$1000,3,FALSE)*(N49+P49)/2)+IF((18-12*S49/$J$5)&gt;7.5,7.5,IF((18-12*S49/$J$5)&lt;0,0,(18-12*S49/$J$5)))</f>
        <v>0</v>
      </c>
      <c r="X49" s="38"/>
      <c r="Y49" s="38"/>
      <c r="Z49" s="38"/>
      <c r="AA49" s="38"/>
      <c r="AB49" s="39"/>
      <c r="AC49" s="38"/>
      <c r="AD49" s="38"/>
      <c r="AE49" s="38"/>
      <c r="AF49" s="38"/>
      <c r="AG49" s="39"/>
      <c r="AH49" s="38"/>
      <c r="AI49" s="38"/>
      <c r="AJ49" s="38"/>
      <c r="AK49" s="38"/>
      <c r="AL49" s="39"/>
      <c r="AM49" s="44"/>
      <c r="AN49" s="39"/>
      <c r="AO49" s="37"/>
      <c r="AP49" s="37"/>
    </row>
    <row r="50" spans="1:42"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7"/>
      <c r="AP50" s="37"/>
    </row>
    <row r="51" spans="1:42"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7"/>
      <c r="AP51" s="37"/>
    </row>
    <row r="52" spans="1:42"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7"/>
      <c r="AP52" s="37"/>
    </row>
    <row r="53" spans="1:42"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7"/>
      <c r="AP53" s="37"/>
    </row>
    <row r="54" spans="1:42"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7"/>
      <c r="AP54" s="37"/>
    </row>
    <row r="55" spans="1:42"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7"/>
      <c r="AP55" s="37"/>
    </row>
    <row r="56" spans="1:42"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7"/>
      <c r="AP56" s="37"/>
    </row>
    <row r="57" spans="1:42"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7"/>
      <c r="AP57" s="37"/>
    </row>
    <row r="58" spans="1:42"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7"/>
      <c r="AP58" s="37"/>
    </row>
    <row r="59" spans="1:42"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7"/>
      <c r="AP59" s="37"/>
    </row>
    <row r="60" spans="1:42"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7"/>
      <c r="AP60" s="37"/>
    </row>
    <row r="61" spans="1:42"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7"/>
      <c r="AP61" s="37"/>
    </row>
    <row r="62" spans="1:42"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7"/>
      <c r="AP62" s="37"/>
    </row>
    <row r="63" spans="1:42"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7"/>
      <c r="AP63" s="37"/>
    </row>
    <row r="64" spans="1:42"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7"/>
      <c r="AP64" s="37"/>
    </row>
    <row r="65" spans="24:42"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7"/>
      <c r="AP65" s="37"/>
    </row>
    <row r="66" spans="24:42"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7"/>
      <c r="AP66" s="37"/>
    </row>
    <row r="67" spans="24:42"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7"/>
      <c r="AP67" s="37"/>
    </row>
    <row r="68" spans="24:42"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7"/>
      <c r="AP68" s="37"/>
    </row>
    <row r="69" spans="24:42"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7"/>
      <c r="AP69" s="37"/>
    </row>
    <row r="70" spans="24:42"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</row>
    <row r="71" spans="24:42"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</row>
    <row r="72" spans="24:42"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</row>
    <row r="73" spans="24:42"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</row>
    <row r="74" spans="24:42"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</row>
    <row r="75" spans="24:42"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</row>
    <row r="76" spans="24:42"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</row>
    <row r="77" spans="24:42"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</row>
    <row r="78" spans="24:42"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</row>
    <row r="79" spans="24:42"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</row>
    <row r="80" spans="24:42"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</row>
    <row r="81" spans="24:42"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</row>
    <row r="82" spans="24:42"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</row>
    <row r="83" spans="24:42"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</row>
    <row r="84" spans="24:42"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</row>
    <row r="85" spans="24:42"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</row>
    <row r="86" spans="24:42"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</row>
    <row r="87" spans="24:42"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</row>
    <row r="88" spans="24:42"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</row>
    <row r="89" spans="24:42"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</row>
    <row r="90" spans="24:42"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</row>
    <row r="91" spans="24:42"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</row>
  </sheetData>
  <sortState ref="B30:W52">
    <sortCondition descending="1" ref="W30:W52"/>
  </sortState>
  <mergeCells count="12">
    <mergeCell ref="A1:I1"/>
    <mergeCell ref="A2:I2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G44"/>
  <sheetViews>
    <sheetView topLeftCell="A10" workbookViewId="0">
      <selection activeCell="G13" sqref="G13"/>
    </sheetView>
  </sheetViews>
  <sheetFormatPr defaultRowHeight="13.2"/>
  <cols>
    <col min="1" max="1" width="14" customWidth="1"/>
    <col min="3" max="3" width="16.6640625" customWidth="1"/>
    <col min="4" max="4" width="14" customWidth="1"/>
    <col min="8" max="8" width="14" customWidth="1"/>
    <col min="10" max="10" width="22.6640625" customWidth="1"/>
    <col min="15" max="15" width="20.88671875" customWidth="1"/>
    <col min="20" max="20" width="21.88671875" customWidth="1"/>
    <col min="25" max="25" width="21.109375" customWidth="1"/>
    <col min="30" max="30" width="26.44140625" customWidth="1"/>
  </cols>
  <sheetData>
    <row r="1" spans="1:33" ht="24.6">
      <c r="A1" s="159" t="s">
        <v>259</v>
      </c>
      <c r="B1" s="159"/>
      <c r="C1" s="159"/>
      <c r="D1" s="159"/>
      <c r="E1" s="159"/>
      <c r="F1" s="159"/>
      <c r="G1" s="159"/>
      <c r="H1" s="159"/>
      <c r="I1" s="159"/>
      <c r="J1" s="92"/>
      <c r="K1" s="92"/>
    </row>
    <row r="2" spans="1:33" ht="17.399999999999999">
      <c r="A2" s="160"/>
      <c r="B2" s="160"/>
      <c r="C2" s="160"/>
      <c r="D2" s="160"/>
      <c r="E2" s="160"/>
      <c r="F2" s="160"/>
      <c r="G2" s="160"/>
      <c r="H2" s="160"/>
      <c r="I2" s="160"/>
      <c r="J2" s="93"/>
      <c r="K2" s="93"/>
    </row>
    <row r="3" spans="1:33">
      <c r="A3" s="7"/>
      <c r="B3" s="1"/>
      <c r="C3" s="1"/>
      <c r="D3" s="1"/>
      <c r="E3" s="1"/>
      <c r="F3" s="1"/>
      <c r="G3" s="1"/>
      <c r="H3" s="1"/>
      <c r="I3" s="1"/>
      <c r="J3" s="1" t="s">
        <v>299</v>
      </c>
      <c r="K3" s="1" t="s">
        <v>219</v>
      </c>
      <c r="M3" t="s">
        <v>216</v>
      </c>
      <c r="N3" t="s">
        <v>224</v>
      </c>
    </row>
    <row r="4" spans="1:33" ht="13.8" thickBot="1">
      <c r="A4" s="7"/>
      <c r="B4" s="1"/>
      <c r="C4" s="1"/>
      <c r="D4" s="1"/>
      <c r="E4" s="1"/>
      <c r="F4" s="1"/>
      <c r="G4" s="1"/>
      <c r="H4" s="1"/>
      <c r="I4" s="1"/>
      <c r="J4" s="1" t="s">
        <v>300</v>
      </c>
      <c r="K4" s="1" t="s">
        <v>221</v>
      </c>
      <c r="M4" t="s">
        <v>217</v>
      </c>
      <c r="N4" s="141" t="s">
        <v>222</v>
      </c>
      <c r="O4" s="71"/>
      <c r="P4" s="71"/>
    </row>
    <row r="5" spans="1:33">
      <c r="A5" s="161" t="s">
        <v>262</v>
      </c>
      <c r="B5" s="162"/>
      <c r="C5" s="166" t="s">
        <v>218</v>
      </c>
      <c r="D5" s="167"/>
      <c r="E5" s="167"/>
      <c r="F5" s="168"/>
      <c r="G5" s="1"/>
      <c r="H5" s="1"/>
      <c r="I5" s="36"/>
      <c r="J5" s="1" t="s">
        <v>301</v>
      </c>
      <c r="K5" s="1" t="s">
        <v>223</v>
      </c>
    </row>
    <row r="6" spans="1:33">
      <c r="A6" s="149" t="s">
        <v>263</v>
      </c>
      <c r="B6" s="150"/>
      <c r="C6" s="169" t="s">
        <v>258</v>
      </c>
      <c r="D6" s="170"/>
      <c r="E6" s="170"/>
      <c r="F6" s="171"/>
      <c r="G6" s="1"/>
      <c r="H6" s="1"/>
      <c r="I6" s="1"/>
      <c r="J6" s="1" t="s">
        <v>303</v>
      </c>
      <c r="K6" s="1" t="s">
        <v>220</v>
      </c>
      <c r="M6" t="s">
        <v>225</v>
      </c>
      <c r="N6" t="s">
        <v>226</v>
      </c>
    </row>
    <row r="7" spans="1:33">
      <c r="A7" s="149" t="s">
        <v>264</v>
      </c>
      <c r="B7" s="150"/>
      <c r="C7" s="169" t="s">
        <v>242</v>
      </c>
      <c r="D7" s="170"/>
      <c r="E7" s="170"/>
      <c r="F7" s="171"/>
      <c r="G7" s="1"/>
      <c r="H7" s="1"/>
      <c r="I7" s="1"/>
      <c r="J7" s="1" t="s">
        <v>302</v>
      </c>
      <c r="K7" s="1" t="s">
        <v>222</v>
      </c>
    </row>
    <row r="8" spans="1:33">
      <c r="A8" s="149" t="s">
        <v>265</v>
      </c>
      <c r="B8" s="150"/>
      <c r="C8" s="169" t="s">
        <v>104</v>
      </c>
      <c r="D8" s="170"/>
      <c r="E8" s="170"/>
      <c r="F8" s="171"/>
      <c r="G8" s="1"/>
      <c r="H8" s="1"/>
      <c r="I8" s="1"/>
      <c r="J8" s="1"/>
      <c r="K8" s="1"/>
    </row>
    <row r="9" spans="1:33" ht="13.8" thickBot="1">
      <c r="A9" s="154" t="s">
        <v>266</v>
      </c>
      <c r="B9" s="155"/>
      <c r="C9" s="173" t="s">
        <v>105</v>
      </c>
      <c r="D9" s="174"/>
      <c r="E9" s="174"/>
      <c r="F9" s="175"/>
      <c r="G9" s="1"/>
      <c r="H9" s="1"/>
      <c r="I9" s="1"/>
      <c r="J9" s="75" t="s">
        <v>306</v>
      </c>
      <c r="K9" s="75"/>
    </row>
    <row r="11" spans="1:33">
      <c r="A11" s="172" t="s">
        <v>261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</row>
    <row r="12" spans="1:33">
      <c r="A12" s="60" t="s">
        <v>91</v>
      </c>
      <c r="B12" s="60" t="s">
        <v>1</v>
      </c>
      <c r="C12" s="60" t="s">
        <v>2</v>
      </c>
      <c r="D12" s="60" t="s">
        <v>238</v>
      </c>
      <c r="E12" s="60" t="s">
        <v>92</v>
      </c>
      <c r="F12" s="179" t="s">
        <v>317</v>
      </c>
      <c r="G12" s="60" t="s">
        <v>318</v>
      </c>
      <c r="H12" s="60" t="s">
        <v>91</v>
      </c>
      <c r="I12" s="60" t="s">
        <v>1</v>
      </c>
      <c r="J12" s="60" t="s">
        <v>99</v>
      </c>
      <c r="K12" s="60" t="s">
        <v>100</v>
      </c>
      <c r="L12" s="60" t="s">
        <v>94</v>
      </c>
      <c r="M12" s="62" t="s">
        <v>95</v>
      </c>
      <c r="N12" s="61" t="s">
        <v>1</v>
      </c>
      <c r="O12" s="60" t="s">
        <v>99</v>
      </c>
      <c r="P12" s="60" t="s">
        <v>100</v>
      </c>
      <c r="Q12" s="61" t="s">
        <v>94</v>
      </c>
      <c r="R12" s="62" t="s">
        <v>267</v>
      </c>
      <c r="S12" s="61" t="s">
        <v>1</v>
      </c>
      <c r="T12" s="60" t="s">
        <v>99</v>
      </c>
      <c r="U12" s="60" t="s">
        <v>100</v>
      </c>
      <c r="V12" s="61" t="s">
        <v>94</v>
      </c>
      <c r="W12" s="61" t="s">
        <v>96</v>
      </c>
      <c r="X12" s="61" t="s">
        <v>1</v>
      </c>
      <c r="Y12" s="60" t="s">
        <v>99</v>
      </c>
      <c r="Z12" s="60" t="s">
        <v>100</v>
      </c>
      <c r="AA12" s="61" t="s">
        <v>94</v>
      </c>
      <c r="AB12" s="63" t="s">
        <v>97</v>
      </c>
      <c r="AC12" s="61" t="s">
        <v>1</v>
      </c>
      <c r="AD12" s="60" t="s">
        <v>99</v>
      </c>
      <c r="AE12" s="60" t="s">
        <v>100</v>
      </c>
      <c r="AF12" s="61" t="s">
        <v>18</v>
      </c>
    </row>
    <row r="13" spans="1:33">
      <c r="A13" s="94">
        <v>1</v>
      </c>
      <c r="B13" s="94">
        <v>115</v>
      </c>
      <c r="C13" s="57" t="s">
        <v>118</v>
      </c>
      <c r="D13" s="57">
        <v>2528768</v>
      </c>
      <c r="E13" s="178">
        <v>27.041999999999998</v>
      </c>
      <c r="F13" s="176">
        <v>2</v>
      </c>
      <c r="G13" s="180" t="s">
        <v>129</v>
      </c>
      <c r="H13" s="68">
        <v>1</v>
      </c>
      <c r="I13" s="68">
        <f>B13</f>
        <v>115</v>
      </c>
      <c r="J13" s="68" t="str">
        <f>RANK(VLOOKUP(I13,$B$13:$E$44,4,FALSE),$E$13:$E$44,1) &amp; " " &amp; VLOOKUP(I13,$B$13:$E$44,2,FALSE)</f>
        <v>20 IKUMA HORISHIMA</v>
      </c>
      <c r="K13" s="68"/>
      <c r="L13" s="68">
        <v>115</v>
      </c>
      <c r="M13" s="76"/>
      <c r="N13" s="68">
        <f>L13</f>
        <v>115</v>
      </c>
      <c r="O13" s="68" t="str">
        <f>RANK(VLOOKUP(N13,$B$13:$E$44,4,FALSE),$E$13:$E$44,1) &amp; " " &amp; VLOOKUP(N13,$B$13:$E$44,2,FALSE)</f>
        <v>20 IKUMA HORISHIMA</v>
      </c>
      <c r="P13" s="68"/>
      <c r="Q13" s="68">
        <v>115</v>
      </c>
      <c r="R13" s="76"/>
      <c r="S13" s="68">
        <f>Q13</f>
        <v>115</v>
      </c>
      <c r="T13" s="68" t="str">
        <f>RANK(VLOOKUP(S13,$B$13:$E$44,4,FALSE),$E$13:$E$44,1) &amp; " " &amp; VLOOKUP(S13,$B$13:$E$44,2,FALSE)</f>
        <v>20 IKUMA HORISHIMA</v>
      </c>
      <c r="U13" s="68"/>
      <c r="V13" s="68">
        <v>115</v>
      </c>
      <c r="W13" s="77"/>
      <c r="X13" s="68">
        <f>V13</f>
        <v>115</v>
      </c>
      <c r="Y13" s="68" t="str">
        <f>RANK(VLOOKUP(X13,$B$13:$E$44,4,FALSE),$E$13:$E$44,1) &amp; " " &amp; VLOOKUP(X13,$B$13:$E$44,2,FALSE)</f>
        <v>20 IKUMA HORISHIMA</v>
      </c>
      <c r="Z13" s="68"/>
      <c r="AA13" s="68">
        <v>97</v>
      </c>
      <c r="AB13" s="76"/>
      <c r="AC13" s="68">
        <f>AA13</f>
        <v>97</v>
      </c>
      <c r="AD13" s="68" t="str">
        <f>RANK(VLOOKUP(AC13,$B$13:$E$44,4,FALSE),$E$13:$E$44,1) &amp; " " &amp; VLOOKUP(AC13,$B$13:$E$44,2,FALSE)</f>
        <v>16 Andrew Longley</v>
      </c>
      <c r="AE13" s="69"/>
      <c r="AF13" s="94">
        <v>97</v>
      </c>
    </row>
    <row r="14" spans="1:33">
      <c r="A14" s="94">
        <v>2</v>
      </c>
      <c r="B14" s="94">
        <v>100</v>
      </c>
      <c r="C14" s="57" t="s">
        <v>203</v>
      </c>
      <c r="D14" s="57"/>
      <c r="E14" s="178">
        <v>25.322000000000003</v>
      </c>
      <c r="F14" s="176"/>
      <c r="G14" s="180"/>
      <c r="H14" s="68">
        <v>32</v>
      </c>
      <c r="I14" s="68">
        <f>B44</f>
        <v>0</v>
      </c>
      <c r="J14" s="68" t="str">
        <f t="shared" ref="J14:J44" si="0">RANK(VLOOKUP(I14,$B$13:$E$44,4,FALSE),$E$13:$E$44,1) &amp; " " &amp; VLOOKUP(I14,$B$13:$E$44,2,FALSE)</f>
        <v>21 0</v>
      </c>
      <c r="K14" s="77"/>
      <c r="L14" s="76"/>
      <c r="M14" s="76"/>
      <c r="N14" s="68">
        <f>L15</f>
        <v>84</v>
      </c>
      <c r="O14" s="68" t="str">
        <f t="shared" ref="O14:O28" si="1">RANK(VLOOKUP(N14,$B$13:$E$44,4,FALSE),$E$13:$E$44,1) &amp; " " &amp; VLOOKUP(N14,$B$13:$E$44,2,FALSE)</f>
        <v>4 Sam Burley</v>
      </c>
      <c r="P14" s="77">
        <f>1+1+1+0+0</f>
        <v>3</v>
      </c>
      <c r="Q14" s="77"/>
      <c r="R14" s="76"/>
      <c r="S14" s="68">
        <f>Q15</f>
        <v>44</v>
      </c>
      <c r="T14" s="68" t="str">
        <f t="shared" ref="T14:T20" si="2">RANK(VLOOKUP(S14,$B$13:$E$44,4,FALSE),$E$13:$E$44,1) &amp; " " &amp; VLOOKUP(S14,$B$13:$E$44,2,FALSE)</f>
        <v>12 William Feneley</v>
      </c>
      <c r="U14" s="77">
        <f>2+1+1+2+0</f>
        <v>6</v>
      </c>
      <c r="V14" s="77"/>
      <c r="W14" s="77"/>
      <c r="X14" s="68">
        <f>V15</f>
        <v>97</v>
      </c>
      <c r="Y14" s="68" t="str">
        <f t="shared" ref="Y14:Y16" si="3">RANK(VLOOKUP(X14,$B$13:$E$44,4,FALSE),$E$13:$E$44,1) &amp; " " &amp; VLOOKUP(X14,$B$13:$E$44,2,FALSE)</f>
        <v>16 Andrew Longley</v>
      </c>
      <c r="Z14" s="77">
        <v>25</v>
      </c>
      <c r="AA14" s="76"/>
      <c r="AB14" s="76"/>
      <c r="AC14" s="68">
        <f>AA15</f>
        <v>100</v>
      </c>
      <c r="AD14" s="68" t="str">
        <f>RANK(VLOOKUP(AC14,$B$13:$E$44,4,FALSE),$E$13:$E$44,1) &amp; " " &amp; VLOOKUP(AC14,$B$13:$E$44,2,FALSE)</f>
        <v>19 Nicolo' Manna</v>
      </c>
      <c r="AE14" s="78">
        <f>1+2+2+2+1</f>
        <v>8</v>
      </c>
      <c r="AF14" s="58" t="s">
        <v>19</v>
      </c>
    </row>
    <row r="15" spans="1:33">
      <c r="A15" s="94">
        <v>3</v>
      </c>
      <c r="B15" s="94">
        <v>88</v>
      </c>
      <c r="C15" s="57" t="s">
        <v>168</v>
      </c>
      <c r="D15" s="57"/>
      <c r="E15" s="178">
        <v>24.555</v>
      </c>
      <c r="G15" s="180"/>
      <c r="H15" s="69">
        <v>17</v>
      </c>
      <c r="I15" s="69">
        <f>B29</f>
        <v>84</v>
      </c>
      <c r="J15" s="69" t="str">
        <f t="shared" si="0"/>
        <v>4 Sam Burley</v>
      </c>
      <c r="K15" s="69"/>
      <c r="L15" s="69">
        <v>84</v>
      </c>
      <c r="M15" s="103"/>
      <c r="N15" s="69">
        <f>L17</f>
        <v>44</v>
      </c>
      <c r="O15" s="69" t="str">
        <f t="shared" si="1"/>
        <v>12 William Feneley</v>
      </c>
      <c r="P15" s="69">
        <f>3+3+2+2+4</f>
        <v>14</v>
      </c>
      <c r="Q15" s="69">
        <v>44</v>
      </c>
      <c r="R15" s="103"/>
      <c r="S15" s="69">
        <f>Q17</f>
        <v>97</v>
      </c>
      <c r="T15" s="69" t="str">
        <f t="shared" si="2"/>
        <v>16 Andrew Longley</v>
      </c>
      <c r="U15" s="69">
        <f>2+2+3+4+3</f>
        <v>14</v>
      </c>
      <c r="V15" s="69">
        <v>97</v>
      </c>
      <c r="W15" s="104"/>
      <c r="X15" s="69">
        <f>V17</f>
        <v>56</v>
      </c>
      <c r="Y15" s="69" t="str">
        <f t="shared" si="3"/>
        <v>15 Aigner Thomas</v>
      </c>
      <c r="Z15" s="69"/>
      <c r="AA15" s="69">
        <v>100</v>
      </c>
      <c r="AB15" s="103"/>
      <c r="AC15" s="103"/>
      <c r="AD15" s="103"/>
      <c r="AE15" s="65"/>
      <c r="AF15" s="69">
        <v>100</v>
      </c>
      <c r="AG15" s="73"/>
    </row>
    <row r="16" spans="1:33">
      <c r="A16" s="94">
        <v>4</v>
      </c>
      <c r="B16" s="94">
        <v>49</v>
      </c>
      <c r="C16" s="57" t="s">
        <v>170</v>
      </c>
      <c r="D16" s="57">
        <v>2529840</v>
      </c>
      <c r="E16" s="178">
        <v>23.78</v>
      </c>
      <c r="F16" s="176">
        <v>4</v>
      </c>
      <c r="G16" s="180" t="s">
        <v>209</v>
      </c>
      <c r="H16" s="69">
        <v>16</v>
      </c>
      <c r="I16" s="69">
        <f>B28</f>
        <v>20</v>
      </c>
      <c r="J16" s="69" t="str">
        <f t="shared" si="0"/>
        <v>5 CALLUM WYLIE</v>
      </c>
      <c r="K16" s="104">
        <v>0</v>
      </c>
      <c r="L16" s="103"/>
      <c r="M16" s="103"/>
      <c r="N16" s="69">
        <f>L19</f>
        <v>18</v>
      </c>
      <c r="O16" s="69" t="str">
        <f t="shared" si="1"/>
        <v>13 Samuel Houston</v>
      </c>
      <c r="P16" s="104"/>
      <c r="Q16" s="104"/>
      <c r="R16" s="103"/>
      <c r="S16" s="69">
        <f>Q19</f>
        <v>49</v>
      </c>
      <c r="T16" s="69" t="str">
        <f t="shared" si="2"/>
        <v>17 Gasparini Matteo</v>
      </c>
      <c r="U16" s="104"/>
      <c r="V16" s="104"/>
      <c r="W16" s="104"/>
      <c r="X16" s="69">
        <f>V19</f>
        <v>100</v>
      </c>
      <c r="Y16" s="69" t="str">
        <f t="shared" si="3"/>
        <v>19 Nicolo' Manna</v>
      </c>
      <c r="Z16" s="104">
        <f>5+5+5+5+5</f>
        <v>25</v>
      </c>
      <c r="AA16" s="103"/>
      <c r="AB16" s="103"/>
      <c r="AC16" s="103"/>
      <c r="AD16" s="103"/>
      <c r="AE16" s="65"/>
      <c r="AF16" s="103"/>
      <c r="AG16" s="73"/>
    </row>
    <row r="17" spans="1:32">
      <c r="A17" s="94">
        <v>5</v>
      </c>
      <c r="B17" s="94">
        <v>97</v>
      </c>
      <c r="C17" s="57" t="s">
        <v>159</v>
      </c>
      <c r="D17" s="57">
        <v>2485295</v>
      </c>
      <c r="E17" s="178">
        <v>23.662499999999998</v>
      </c>
      <c r="F17" s="176">
        <v>1</v>
      </c>
      <c r="G17" s="180" t="s">
        <v>122</v>
      </c>
      <c r="H17" s="68">
        <v>9</v>
      </c>
      <c r="I17" s="68">
        <f>B21</f>
        <v>44</v>
      </c>
      <c r="J17" s="68" t="str">
        <f t="shared" si="0"/>
        <v>12 William Feneley</v>
      </c>
      <c r="K17" s="68"/>
      <c r="L17" s="68">
        <v>44</v>
      </c>
      <c r="M17" s="76"/>
      <c r="N17" s="68">
        <f>L21</f>
        <v>97</v>
      </c>
      <c r="O17" s="68" t="str">
        <f t="shared" si="1"/>
        <v>16 Andrew Longley</v>
      </c>
      <c r="P17" s="68">
        <f>3+4+3+3+4</f>
        <v>17</v>
      </c>
      <c r="Q17" s="68">
        <v>97</v>
      </c>
      <c r="R17" s="76"/>
      <c r="S17" s="68">
        <f>Q21</f>
        <v>88</v>
      </c>
      <c r="T17" s="68" t="str">
        <f t="shared" si="2"/>
        <v>18 Giacomo Papa</v>
      </c>
      <c r="U17" s="68"/>
      <c r="V17" s="68">
        <v>56</v>
      </c>
      <c r="W17" s="76"/>
      <c r="X17" s="76"/>
      <c r="Y17" s="76"/>
      <c r="Z17" s="76"/>
      <c r="AA17" s="76"/>
      <c r="AB17" s="62" t="s">
        <v>98</v>
      </c>
      <c r="AC17" s="58" t="s">
        <v>1</v>
      </c>
      <c r="AD17" s="60" t="s">
        <v>99</v>
      </c>
      <c r="AE17" s="60" t="s">
        <v>100</v>
      </c>
      <c r="AF17" s="58" t="s">
        <v>20</v>
      </c>
    </row>
    <row r="18" spans="1:32">
      <c r="A18" s="94">
        <v>6</v>
      </c>
      <c r="B18" s="94">
        <v>56</v>
      </c>
      <c r="C18" s="57" t="s">
        <v>172</v>
      </c>
      <c r="D18" s="57">
        <v>2531748</v>
      </c>
      <c r="E18" s="178">
        <v>22.923999999999999</v>
      </c>
      <c r="F18" s="177">
        <v>3</v>
      </c>
      <c r="G18" s="180" t="s">
        <v>239</v>
      </c>
      <c r="H18" s="68">
        <v>24</v>
      </c>
      <c r="I18" s="68">
        <f>B36</f>
        <v>0</v>
      </c>
      <c r="J18" s="68" t="str">
        <f t="shared" si="0"/>
        <v>21 0</v>
      </c>
      <c r="K18" s="77"/>
      <c r="L18" s="76"/>
      <c r="M18" s="76"/>
      <c r="N18" s="68">
        <f>L23</f>
        <v>3</v>
      </c>
      <c r="O18" s="68" t="str">
        <f t="shared" si="1"/>
        <v>9 Thomas Rascagneres</v>
      </c>
      <c r="P18" s="77"/>
      <c r="Q18" s="76"/>
      <c r="R18" s="76"/>
      <c r="S18" s="68">
        <f>Q23</f>
        <v>56</v>
      </c>
      <c r="T18" s="68" t="str">
        <f t="shared" si="2"/>
        <v>15 Aigner Thomas</v>
      </c>
      <c r="U18" s="77">
        <f>2+3+3+2+3</f>
        <v>13</v>
      </c>
      <c r="V18" s="76"/>
      <c r="W18" s="76"/>
      <c r="X18" s="76"/>
      <c r="Y18" s="76"/>
      <c r="Z18" s="76"/>
      <c r="AA18" s="76"/>
      <c r="AB18" s="65"/>
      <c r="AC18" s="68">
        <v>115</v>
      </c>
      <c r="AD18" s="68" t="str">
        <f>RANK(VLOOKUP(AC18,$B$13:$E$44,4,FALSE),$E$13:$E$44,1) &amp; " " &amp; VLOOKUP(AC18,$B$13:$E$44,2,FALSE)</f>
        <v>20 IKUMA HORISHIMA</v>
      </c>
      <c r="AE18" s="68"/>
      <c r="AF18" s="94">
        <v>115</v>
      </c>
    </row>
    <row r="19" spans="1:32">
      <c r="A19" s="94">
        <v>7</v>
      </c>
      <c r="B19" s="94">
        <v>95</v>
      </c>
      <c r="C19" s="57" t="s">
        <v>134</v>
      </c>
      <c r="D19" s="57"/>
      <c r="E19" s="178">
        <v>22.539097951344431</v>
      </c>
      <c r="G19" s="65"/>
      <c r="H19" s="69">
        <v>8</v>
      </c>
      <c r="I19" s="69">
        <f>B20</f>
        <v>18</v>
      </c>
      <c r="J19" s="69" t="str">
        <f t="shared" si="0"/>
        <v>13 Samuel Houston</v>
      </c>
      <c r="K19" s="69"/>
      <c r="L19" s="69">
        <v>18</v>
      </c>
      <c r="M19" s="103"/>
      <c r="N19" s="69">
        <f>L25</f>
        <v>49</v>
      </c>
      <c r="O19" s="69" t="str">
        <f t="shared" si="1"/>
        <v>17 Gasparini Matteo</v>
      </c>
      <c r="P19" s="69"/>
      <c r="Q19" s="69">
        <v>49</v>
      </c>
      <c r="R19" s="103"/>
      <c r="S19" s="69">
        <f>Q25</f>
        <v>95</v>
      </c>
      <c r="T19" s="69" t="str">
        <f t="shared" si="2"/>
        <v>14 Nick Page</v>
      </c>
      <c r="U19" s="69"/>
      <c r="V19" s="69">
        <v>100</v>
      </c>
      <c r="W19" s="103"/>
      <c r="X19" s="65"/>
      <c r="Y19" s="65"/>
      <c r="Z19" s="65"/>
      <c r="AA19" s="65"/>
      <c r="AB19" s="65"/>
      <c r="AC19" s="68">
        <v>56</v>
      </c>
      <c r="AD19" s="68" t="str">
        <f>RANK(VLOOKUP(AC19,$B$13:$E$44,4,FALSE),$E$13:$E$44,1) &amp; " " &amp; VLOOKUP(AC19,$B$13:$E$44,2,FALSE)</f>
        <v>15 Aigner Thomas</v>
      </c>
      <c r="AE19" s="79">
        <f>0+1+1+1</f>
        <v>3</v>
      </c>
      <c r="AF19" s="58" t="s">
        <v>21</v>
      </c>
    </row>
    <row r="20" spans="1:32">
      <c r="A20" s="94">
        <v>8</v>
      </c>
      <c r="B20" s="94">
        <v>18</v>
      </c>
      <c r="C20" s="57" t="s">
        <v>123</v>
      </c>
      <c r="D20" s="57">
        <v>2531086</v>
      </c>
      <c r="E20" s="178">
        <v>22.408999999999999</v>
      </c>
      <c r="F20" s="177">
        <v>5</v>
      </c>
      <c r="G20" s="180" t="s">
        <v>122</v>
      </c>
      <c r="H20" s="69">
        <v>25</v>
      </c>
      <c r="I20" s="69">
        <f>B37</f>
        <v>0</v>
      </c>
      <c r="J20" s="69" t="str">
        <f t="shared" si="0"/>
        <v>21 0</v>
      </c>
      <c r="K20" s="104"/>
      <c r="L20" s="103"/>
      <c r="M20" s="103"/>
      <c r="N20" s="69">
        <f>L27</f>
        <v>25</v>
      </c>
      <c r="O20" s="69" t="str">
        <f t="shared" si="1"/>
        <v>8 James Rose</v>
      </c>
      <c r="P20" s="104">
        <f>0+1+1+1+1</f>
        <v>4</v>
      </c>
      <c r="Q20" s="103"/>
      <c r="R20" s="103"/>
      <c r="S20" s="69">
        <f>Q27</f>
        <v>100</v>
      </c>
      <c r="T20" s="69" t="str">
        <f t="shared" si="2"/>
        <v>19 Nicolo' Manna</v>
      </c>
      <c r="U20" s="104">
        <f>3+3+2+3+3</f>
        <v>14</v>
      </c>
      <c r="V20" s="103"/>
      <c r="W20" s="103"/>
      <c r="X20" s="65"/>
      <c r="Y20" s="65"/>
      <c r="Z20" s="65"/>
      <c r="AA20" s="65"/>
      <c r="AB20" s="65"/>
      <c r="AC20" s="65"/>
      <c r="AD20" s="65"/>
      <c r="AE20" s="65"/>
      <c r="AF20" s="94">
        <v>56</v>
      </c>
    </row>
    <row r="21" spans="1:32">
      <c r="A21" s="94">
        <v>9</v>
      </c>
      <c r="B21" s="94">
        <v>44</v>
      </c>
      <c r="C21" s="57" t="s">
        <v>110</v>
      </c>
      <c r="D21" s="57">
        <v>2531950</v>
      </c>
      <c r="E21" s="178">
        <v>21.432500000000001</v>
      </c>
      <c r="F21" s="177">
        <v>6</v>
      </c>
      <c r="G21" s="180" t="s">
        <v>122</v>
      </c>
      <c r="H21" s="68">
        <v>5</v>
      </c>
      <c r="I21" s="68">
        <f>B17</f>
        <v>97</v>
      </c>
      <c r="J21" s="68" t="str">
        <f t="shared" si="0"/>
        <v>16 Andrew Longley</v>
      </c>
      <c r="K21" s="68"/>
      <c r="L21" s="68">
        <v>97</v>
      </c>
      <c r="M21" s="76"/>
      <c r="N21" s="68">
        <f>L29</f>
        <v>88</v>
      </c>
      <c r="O21" s="68" t="str">
        <f t="shared" si="1"/>
        <v>18 Giacomo Papa</v>
      </c>
      <c r="P21" s="68"/>
      <c r="Q21" s="68">
        <v>88</v>
      </c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F21" s="65"/>
    </row>
    <row r="22" spans="1:32">
      <c r="A22" s="94">
        <v>10</v>
      </c>
      <c r="B22" s="94">
        <v>104</v>
      </c>
      <c r="C22" s="57" t="s">
        <v>112</v>
      </c>
      <c r="D22" s="57">
        <v>2530279</v>
      </c>
      <c r="E22" s="178">
        <v>20.954895006402047</v>
      </c>
      <c r="F22" s="177">
        <v>7</v>
      </c>
      <c r="G22" s="180" t="s">
        <v>122</v>
      </c>
      <c r="H22" s="68">
        <v>28</v>
      </c>
      <c r="I22" s="68">
        <f>B40</f>
        <v>0</v>
      </c>
      <c r="J22" s="68" t="str">
        <f t="shared" si="0"/>
        <v>21 0</v>
      </c>
      <c r="K22" s="77"/>
      <c r="L22" s="76"/>
      <c r="M22" s="76"/>
      <c r="N22" s="68">
        <f>L31</f>
        <v>109</v>
      </c>
      <c r="O22" s="68" t="str">
        <f t="shared" si="1"/>
        <v>7 Sam Allen</v>
      </c>
      <c r="P22" s="77">
        <f>0</f>
        <v>0</v>
      </c>
      <c r="Q22" s="76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F22" s="65"/>
    </row>
    <row r="23" spans="1:32">
      <c r="A23" s="94">
        <v>11</v>
      </c>
      <c r="B23" s="94">
        <v>81</v>
      </c>
      <c r="C23" s="57" t="s">
        <v>205</v>
      </c>
      <c r="D23" s="57">
        <v>2530651</v>
      </c>
      <c r="E23" s="178">
        <v>20.590499999999999</v>
      </c>
      <c r="F23" s="177">
        <v>8</v>
      </c>
      <c r="G23" s="180" t="s">
        <v>207</v>
      </c>
      <c r="H23" s="69">
        <v>12</v>
      </c>
      <c r="I23" s="69">
        <f>B24</f>
        <v>3</v>
      </c>
      <c r="J23" s="69" t="str">
        <f>RANK(VLOOKUP(I23,$B$13:$E$44,4,FALSE),$E$13:$E$44,1) &amp; " " &amp; VLOOKUP(I23,$B$13:$E$44,2,FALSE)</f>
        <v>9 Thomas Rascagneres</v>
      </c>
      <c r="K23" s="69"/>
      <c r="L23" s="69">
        <v>3</v>
      </c>
      <c r="M23" s="103"/>
      <c r="N23" s="69">
        <f>L33</f>
        <v>56</v>
      </c>
      <c r="O23" s="69" t="str">
        <f t="shared" si="1"/>
        <v>15 Aigner Thomas</v>
      </c>
      <c r="P23" s="69"/>
      <c r="Q23" s="69">
        <v>56</v>
      </c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F23" s="65"/>
    </row>
    <row r="24" spans="1:32">
      <c r="A24" s="94">
        <v>12</v>
      </c>
      <c r="B24" s="94">
        <v>3</v>
      </c>
      <c r="C24" s="57" t="s">
        <v>156</v>
      </c>
      <c r="D24" s="57">
        <v>2532116</v>
      </c>
      <c r="E24" s="178">
        <v>19.994500000000002</v>
      </c>
      <c r="F24" s="177">
        <v>9</v>
      </c>
      <c r="G24" s="180" t="s">
        <v>122</v>
      </c>
      <c r="H24" s="69">
        <v>21</v>
      </c>
      <c r="I24" s="69">
        <f>B33</f>
        <v>0</v>
      </c>
      <c r="J24" s="69" t="str">
        <f t="shared" si="0"/>
        <v>21 0</v>
      </c>
      <c r="K24" s="104"/>
      <c r="L24" s="103"/>
      <c r="M24" s="103"/>
      <c r="N24" s="69">
        <f>L35</f>
        <v>81</v>
      </c>
      <c r="O24" s="69" t="str">
        <f t="shared" si="1"/>
        <v>10 Luca Ferioli</v>
      </c>
      <c r="P24" s="104">
        <f>0+1+1+2+0</f>
        <v>4</v>
      </c>
      <c r="Q24" s="103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F24" s="65"/>
    </row>
    <row r="25" spans="1:32">
      <c r="A25" s="94">
        <v>13</v>
      </c>
      <c r="B25" s="94">
        <v>25</v>
      </c>
      <c r="C25" s="57" t="s">
        <v>130</v>
      </c>
      <c r="D25" s="57"/>
      <c r="E25" s="178">
        <v>18.536706145966704</v>
      </c>
      <c r="G25" s="65"/>
      <c r="H25" s="68">
        <v>4</v>
      </c>
      <c r="I25" s="68">
        <f>B16</f>
        <v>49</v>
      </c>
      <c r="J25" s="68" t="str">
        <f t="shared" si="0"/>
        <v>17 Gasparini Matteo</v>
      </c>
      <c r="K25" s="68"/>
      <c r="L25" s="68">
        <v>49</v>
      </c>
      <c r="M25" s="76"/>
      <c r="N25" s="68">
        <f>L37</f>
        <v>95</v>
      </c>
      <c r="O25" s="68" t="str">
        <f t="shared" si="1"/>
        <v>14 Nick Page</v>
      </c>
      <c r="P25" s="68"/>
      <c r="Q25" s="68">
        <v>95</v>
      </c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F25" s="65"/>
    </row>
    <row r="26" spans="1:32">
      <c r="A26" s="94">
        <v>14</v>
      </c>
      <c r="B26" s="94">
        <v>109</v>
      </c>
      <c r="C26" s="57" t="s">
        <v>199</v>
      </c>
      <c r="D26" s="57">
        <v>2528447</v>
      </c>
      <c r="E26" s="178">
        <v>18.217500000000001</v>
      </c>
      <c r="F26" s="177">
        <v>10</v>
      </c>
      <c r="G26" s="180" t="s">
        <v>122</v>
      </c>
      <c r="H26" s="68">
        <v>29</v>
      </c>
      <c r="I26" s="68">
        <f>B41</f>
        <v>0</v>
      </c>
      <c r="J26" s="68" t="str">
        <f t="shared" si="0"/>
        <v>21 0</v>
      </c>
      <c r="K26" s="77"/>
      <c r="L26" s="76"/>
      <c r="M26" s="76"/>
      <c r="N26" s="68">
        <f>L39</f>
        <v>104</v>
      </c>
      <c r="O26" s="68" t="str">
        <f t="shared" si="1"/>
        <v>11 Liam Keyes</v>
      </c>
      <c r="P26" s="77">
        <f>3+2+2+2+1</f>
        <v>10</v>
      </c>
      <c r="Q26" s="76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F26" s="65"/>
    </row>
    <row r="27" spans="1:32">
      <c r="A27" s="94">
        <v>15</v>
      </c>
      <c r="B27" s="94">
        <v>17</v>
      </c>
      <c r="C27" s="57" t="s">
        <v>166</v>
      </c>
      <c r="D27" s="57"/>
      <c r="E27" s="178">
        <v>17.442058258642767</v>
      </c>
      <c r="G27" s="65"/>
      <c r="H27" s="69">
        <v>20</v>
      </c>
      <c r="I27" s="69">
        <f>B32</f>
        <v>36</v>
      </c>
      <c r="J27" s="69" t="str">
        <f t="shared" si="0"/>
        <v>1 Sam Jones</v>
      </c>
      <c r="K27" s="69"/>
      <c r="L27" s="69">
        <v>25</v>
      </c>
      <c r="M27" s="103"/>
      <c r="N27" s="69">
        <f>L41</f>
        <v>17</v>
      </c>
      <c r="O27" s="69" t="str">
        <f t="shared" si="1"/>
        <v>6 Linus Ombelli</v>
      </c>
      <c r="P27" s="69"/>
      <c r="Q27" s="69">
        <v>100</v>
      </c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F27" s="65"/>
    </row>
    <row r="28" spans="1:32">
      <c r="A28" s="94">
        <v>16</v>
      </c>
      <c r="B28" s="94">
        <v>20</v>
      </c>
      <c r="C28" s="57" t="s">
        <v>107</v>
      </c>
      <c r="D28" s="57"/>
      <c r="E28" s="178">
        <v>14.128973751600512</v>
      </c>
      <c r="G28" s="65"/>
      <c r="H28" s="69">
        <v>13</v>
      </c>
      <c r="I28" s="69">
        <f>B25</f>
        <v>25</v>
      </c>
      <c r="J28" s="69" t="str">
        <f t="shared" si="0"/>
        <v>8 James Rose</v>
      </c>
      <c r="K28" s="104">
        <f>3+3+2+3+2</f>
        <v>13</v>
      </c>
      <c r="L28" s="104"/>
      <c r="M28" s="103"/>
      <c r="N28" s="69">
        <f>L43</f>
        <v>100</v>
      </c>
      <c r="O28" s="69" t="str">
        <f t="shared" si="1"/>
        <v>19 Nicolo' Manna</v>
      </c>
      <c r="P28" s="104">
        <f>5+4+4+5+5</f>
        <v>23</v>
      </c>
      <c r="Q28" s="104"/>
      <c r="R28" s="66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F28" s="65"/>
    </row>
    <row r="29" spans="1:32">
      <c r="A29" s="94">
        <v>17</v>
      </c>
      <c r="B29" s="94">
        <v>84</v>
      </c>
      <c r="C29" s="57" t="s">
        <v>194</v>
      </c>
      <c r="D29" s="57"/>
      <c r="E29" s="178">
        <v>12.519592829705505</v>
      </c>
      <c r="G29" s="65"/>
      <c r="H29" s="68">
        <v>30</v>
      </c>
      <c r="I29" s="68">
        <f>B42</f>
        <v>0</v>
      </c>
      <c r="J29" s="68" t="str">
        <f t="shared" si="0"/>
        <v>21 0</v>
      </c>
      <c r="K29" s="68"/>
      <c r="L29" s="68">
        <v>88</v>
      </c>
      <c r="M29" s="66"/>
      <c r="N29" s="66"/>
      <c r="O29" s="66"/>
      <c r="P29" s="66"/>
      <c r="Q29" s="66"/>
      <c r="R29" s="66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F29" s="65"/>
    </row>
    <row r="30" spans="1:32">
      <c r="A30" s="94">
        <v>18</v>
      </c>
      <c r="B30" s="94">
        <v>43</v>
      </c>
      <c r="C30" s="57" t="s">
        <v>163</v>
      </c>
      <c r="D30" s="57"/>
      <c r="E30" s="178">
        <v>9.0139961587708086</v>
      </c>
      <c r="G30" s="65"/>
      <c r="H30" s="68">
        <v>3</v>
      </c>
      <c r="I30" s="68">
        <f>B15</f>
        <v>88</v>
      </c>
      <c r="J30" s="68" t="str">
        <f t="shared" si="0"/>
        <v>18 Giacomo Papa</v>
      </c>
      <c r="K30" s="77"/>
      <c r="L30" s="77"/>
      <c r="M30" s="66"/>
      <c r="N30" s="66"/>
      <c r="O30" s="66"/>
      <c r="P30" s="66"/>
      <c r="Q30" s="66"/>
      <c r="R30" s="66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F30" s="65"/>
    </row>
    <row r="31" spans="1:32">
      <c r="A31" s="94">
        <v>19</v>
      </c>
      <c r="B31" s="94">
        <v>15</v>
      </c>
      <c r="C31" s="57" t="s">
        <v>237</v>
      </c>
      <c r="D31" s="57"/>
      <c r="E31" s="178">
        <v>7.3236190781049961</v>
      </c>
      <c r="G31" s="65"/>
      <c r="H31" s="69">
        <v>19</v>
      </c>
      <c r="I31" s="69">
        <f>B31</f>
        <v>15</v>
      </c>
      <c r="J31" s="69" t="str">
        <f t="shared" si="0"/>
        <v>2 Floran Verhoeven</v>
      </c>
      <c r="K31" s="69"/>
      <c r="L31" s="69">
        <v>109</v>
      </c>
      <c r="M31" s="65"/>
      <c r="N31" s="66"/>
      <c r="O31" s="66"/>
      <c r="P31" s="66"/>
      <c r="Q31" s="66"/>
      <c r="R31" s="66"/>
      <c r="S31" s="65"/>
      <c r="T31" s="65"/>
      <c r="U31" s="65"/>
      <c r="V31" s="65"/>
      <c r="W31" s="65"/>
      <c r="X31" s="105"/>
      <c r="Y31" s="105"/>
      <c r="Z31" s="105"/>
      <c r="AA31" s="65"/>
      <c r="AB31" s="65"/>
      <c r="AC31" s="65"/>
      <c r="AD31" s="65"/>
      <c r="AF31" s="65"/>
    </row>
    <row r="32" spans="1:32">
      <c r="A32" s="94">
        <v>20</v>
      </c>
      <c r="B32" s="94">
        <v>36</v>
      </c>
      <c r="C32" s="57" t="s">
        <v>188</v>
      </c>
      <c r="D32" s="57"/>
      <c r="E32" s="178">
        <v>0</v>
      </c>
      <c r="G32" s="65"/>
      <c r="H32" s="69">
        <v>14</v>
      </c>
      <c r="I32" s="69">
        <f>B26</f>
        <v>109</v>
      </c>
      <c r="J32" s="69" t="str">
        <f t="shared" si="0"/>
        <v>7 Sam Allen</v>
      </c>
      <c r="K32" s="104">
        <f>3+2+3+4+4</f>
        <v>16</v>
      </c>
      <c r="L32" s="104"/>
      <c r="M32" s="65"/>
      <c r="N32" s="66"/>
      <c r="O32" s="66"/>
      <c r="P32" s="66"/>
      <c r="Q32" s="66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F32" s="65"/>
    </row>
    <row r="33" spans="1:32">
      <c r="A33" s="94">
        <v>21</v>
      </c>
      <c r="B33" s="94">
        <f>[1]CrossTimedRuns!B33</f>
        <v>0</v>
      </c>
      <c r="C33" s="57">
        <f>[1]CrossTimedRuns!C33</f>
        <v>0</v>
      </c>
      <c r="D33" s="57">
        <f>[1]CrossTimedRuns!D33</f>
        <v>0</v>
      </c>
      <c r="E33" s="94">
        <f>[1]CrossTimedRuns!L33</f>
        <v>9999</v>
      </c>
      <c r="G33" s="65"/>
      <c r="H33" s="68">
        <v>27</v>
      </c>
      <c r="I33" s="68">
        <f>B39</f>
        <v>0</v>
      </c>
      <c r="J33" s="68" t="str">
        <f t="shared" si="0"/>
        <v>21 0</v>
      </c>
      <c r="K33" s="68"/>
      <c r="L33" s="68">
        <v>56</v>
      </c>
      <c r="M33" s="65"/>
      <c r="N33" s="66"/>
      <c r="O33" s="66"/>
      <c r="P33" s="66"/>
      <c r="Q33" s="66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F33" s="65"/>
    </row>
    <row r="34" spans="1:32">
      <c r="A34" s="94">
        <v>22</v>
      </c>
      <c r="B34" s="94">
        <f>[1]CrossTimedRuns!B34</f>
        <v>0</v>
      </c>
      <c r="C34" s="57">
        <f>[1]CrossTimedRuns!C34</f>
        <v>0</v>
      </c>
      <c r="D34" s="57">
        <f>[1]CrossTimedRuns!D34</f>
        <v>0</v>
      </c>
      <c r="E34" s="94">
        <f>[1]CrossTimedRuns!L34</f>
        <v>9999</v>
      </c>
      <c r="G34" s="65"/>
      <c r="H34" s="68">
        <v>6</v>
      </c>
      <c r="I34" s="68">
        <f>B18</f>
        <v>56</v>
      </c>
      <c r="J34" s="68" t="str">
        <f t="shared" si="0"/>
        <v>15 Aigner Thomas</v>
      </c>
      <c r="K34" s="77"/>
      <c r="L34" s="77"/>
      <c r="M34" s="65"/>
      <c r="N34" s="66"/>
      <c r="O34" s="66"/>
      <c r="P34" s="66"/>
      <c r="Q34" s="66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F34" s="65"/>
    </row>
    <row r="35" spans="1:32">
      <c r="A35" s="94">
        <v>23</v>
      </c>
      <c r="B35" s="94">
        <f>[1]CrossTimedRuns!B35</f>
        <v>0</v>
      </c>
      <c r="C35" s="57">
        <f>[1]CrossTimedRuns!C35</f>
        <v>0</v>
      </c>
      <c r="D35" s="57">
        <f>[1]CrossTimedRuns!D35</f>
        <v>0</v>
      </c>
      <c r="E35" s="94">
        <f>[1]CrossTimedRuns!L35</f>
        <v>9999</v>
      </c>
      <c r="G35" s="65"/>
      <c r="H35" s="69">
        <v>22</v>
      </c>
      <c r="I35" s="69">
        <f>B34</f>
        <v>0</v>
      </c>
      <c r="J35" s="69" t="str">
        <f t="shared" si="0"/>
        <v>21 0</v>
      </c>
      <c r="K35" s="69"/>
      <c r="L35" s="69">
        <v>81</v>
      </c>
      <c r="M35" s="65"/>
      <c r="N35" s="66"/>
      <c r="O35" s="66"/>
      <c r="P35" s="66"/>
      <c r="Q35" s="66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F35" s="65"/>
    </row>
    <row r="36" spans="1:32">
      <c r="A36" s="94">
        <v>24</v>
      </c>
      <c r="B36" s="94">
        <f>[1]CrossTimedRuns!B36</f>
        <v>0</v>
      </c>
      <c r="C36" s="57">
        <f>[1]CrossTimedRuns!C36</f>
        <v>0</v>
      </c>
      <c r="D36" s="57">
        <f>[1]CrossTimedRuns!D36</f>
        <v>0</v>
      </c>
      <c r="E36" s="94">
        <f>[1]CrossTimedRuns!L36</f>
        <v>9999</v>
      </c>
      <c r="G36" s="65"/>
      <c r="H36" s="69">
        <v>11</v>
      </c>
      <c r="I36" s="69">
        <f>B23</f>
        <v>81</v>
      </c>
      <c r="J36" s="69" t="str">
        <f t="shared" si="0"/>
        <v>10 Luca Ferioli</v>
      </c>
      <c r="K36" s="104"/>
      <c r="L36" s="104"/>
      <c r="M36" s="65"/>
      <c r="N36" s="66"/>
      <c r="O36" s="66"/>
      <c r="P36" s="66"/>
      <c r="Q36" s="66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F36" s="65"/>
    </row>
    <row r="37" spans="1:32">
      <c r="A37" s="94">
        <v>25</v>
      </c>
      <c r="B37" s="94">
        <f>[1]CrossTimedRuns!B37</f>
        <v>0</v>
      </c>
      <c r="C37" s="57">
        <f>[1]CrossTimedRuns!C37</f>
        <v>0</v>
      </c>
      <c r="D37" s="57">
        <f>[1]CrossTimedRuns!D37</f>
        <v>0</v>
      </c>
      <c r="E37" s="94">
        <f>[1]CrossTimedRuns!L37</f>
        <v>9999</v>
      </c>
      <c r="G37" s="65"/>
      <c r="H37" s="68">
        <v>26</v>
      </c>
      <c r="I37" s="68">
        <f>B38</f>
        <v>0</v>
      </c>
      <c r="J37" s="68" t="str">
        <f t="shared" si="0"/>
        <v>21 0</v>
      </c>
      <c r="K37" s="68"/>
      <c r="L37" s="68">
        <v>95</v>
      </c>
      <c r="M37" s="65"/>
      <c r="N37" s="66"/>
      <c r="O37" s="66"/>
      <c r="P37" s="66"/>
      <c r="Q37" s="66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F37" s="65"/>
    </row>
    <row r="38" spans="1:32">
      <c r="A38" s="94">
        <v>26</v>
      </c>
      <c r="B38" s="94">
        <f>[1]CrossTimedRuns!B38</f>
        <v>0</v>
      </c>
      <c r="C38" s="57">
        <f>[1]CrossTimedRuns!C38</f>
        <v>0</v>
      </c>
      <c r="D38" s="57">
        <f>[1]CrossTimedRuns!D38</f>
        <v>0</v>
      </c>
      <c r="E38" s="94">
        <f>[1]CrossTimedRuns!L38</f>
        <v>9999</v>
      </c>
      <c r="G38" s="65"/>
      <c r="H38" s="68">
        <v>7</v>
      </c>
      <c r="I38" s="68">
        <f>B19</f>
        <v>95</v>
      </c>
      <c r="J38" s="68" t="str">
        <f t="shared" si="0"/>
        <v>14 Nick Page</v>
      </c>
      <c r="K38" s="77"/>
      <c r="L38" s="77"/>
      <c r="M38" s="65"/>
      <c r="N38" s="66"/>
      <c r="O38" s="66"/>
      <c r="P38" s="66"/>
      <c r="Q38" s="66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F38" s="65"/>
    </row>
    <row r="39" spans="1:32">
      <c r="A39" s="94">
        <v>27</v>
      </c>
      <c r="B39" s="94">
        <f>[1]CrossTimedRuns!B39</f>
        <v>0</v>
      </c>
      <c r="C39" s="57">
        <f>[1]CrossTimedRuns!C39</f>
        <v>0</v>
      </c>
      <c r="D39" s="57">
        <f>[1]CrossTimedRuns!D39</f>
        <v>0</v>
      </c>
      <c r="E39" s="94">
        <f>[1]CrossTimedRuns!L39</f>
        <v>9999</v>
      </c>
      <c r="G39" s="65"/>
      <c r="H39" s="69">
        <v>23</v>
      </c>
      <c r="I39" s="69">
        <f>B35</f>
        <v>0</v>
      </c>
      <c r="J39" s="69" t="str">
        <f t="shared" si="0"/>
        <v>21 0</v>
      </c>
      <c r="K39" s="69"/>
      <c r="L39" s="69">
        <v>104</v>
      </c>
      <c r="M39" s="65"/>
      <c r="N39" s="66"/>
      <c r="O39" s="66"/>
      <c r="P39" s="66"/>
      <c r="Q39" s="66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F39" s="65"/>
    </row>
    <row r="40" spans="1:32">
      <c r="A40" s="94">
        <v>28</v>
      </c>
      <c r="B40" s="94">
        <f>[1]CrossTimedRuns!B40</f>
        <v>0</v>
      </c>
      <c r="C40" s="57">
        <f>[1]CrossTimedRuns!C40</f>
        <v>0</v>
      </c>
      <c r="D40" s="57">
        <f>[1]CrossTimedRuns!D40</f>
        <v>0</v>
      </c>
      <c r="E40" s="94">
        <f>[1]CrossTimedRuns!L40</f>
        <v>9999</v>
      </c>
      <c r="G40" s="65"/>
      <c r="H40" s="69">
        <v>10</v>
      </c>
      <c r="I40" s="69">
        <f>B22</f>
        <v>104</v>
      </c>
      <c r="J40" s="69" t="str">
        <f t="shared" si="0"/>
        <v>11 Liam Keyes</v>
      </c>
      <c r="K40" s="104"/>
      <c r="L40" s="104"/>
      <c r="M40" s="65"/>
      <c r="N40" s="66"/>
      <c r="O40" s="66"/>
      <c r="P40" s="66"/>
      <c r="Q40" s="66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F40" s="65"/>
    </row>
    <row r="41" spans="1:32">
      <c r="A41" s="94">
        <v>29</v>
      </c>
      <c r="B41" s="94">
        <f>[1]CrossTimedRuns!B41</f>
        <v>0</v>
      </c>
      <c r="C41" s="57">
        <f>[1]CrossTimedRuns!C41</f>
        <v>0</v>
      </c>
      <c r="D41" s="57">
        <f>[1]CrossTimedRuns!D41</f>
        <v>0</v>
      </c>
      <c r="E41" s="94">
        <f>[1]CrossTimedRuns!L41</f>
        <v>9999</v>
      </c>
      <c r="G41" s="65"/>
      <c r="H41" s="68">
        <v>18</v>
      </c>
      <c r="I41" s="68">
        <f>B30</f>
        <v>43</v>
      </c>
      <c r="J41" s="68" t="str">
        <f t="shared" si="0"/>
        <v>3 Emanuele Pini</v>
      </c>
      <c r="K41" s="68"/>
      <c r="L41" s="68">
        <v>17</v>
      </c>
      <c r="M41" s="65"/>
      <c r="N41" s="66"/>
      <c r="O41" s="66"/>
      <c r="P41" s="66"/>
      <c r="Q41" s="66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F41" s="65"/>
    </row>
    <row r="42" spans="1:32">
      <c r="A42" s="94">
        <v>30</v>
      </c>
      <c r="B42" s="94">
        <f>[1]CrossTimedRuns!B42</f>
        <v>0</v>
      </c>
      <c r="C42" s="57">
        <f>[1]CrossTimedRuns!C42</f>
        <v>0</v>
      </c>
      <c r="D42" s="57">
        <f>[1]CrossTimedRuns!D42</f>
        <v>0</v>
      </c>
      <c r="E42" s="94">
        <f>[1]CrossTimedRuns!L42</f>
        <v>9999</v>
      </c>
      <c r="G42" s="65"/>
      <c r="H42" s="68">
        <v>15</v>
      </c>
      <c r="I42" s="68">
        <f>B27</f>
        <v>17</v>
      </c>
      <c r="J42" s="68" t="str">
        <f t="shared" si="0"/>
        <v>6 Linus Ombelli</v>
      </c>
      <c r="K42" s="77">
        <v>25</v>
      </c>
      <c r="L42" s="77"/>
      <c r="M42" s="65"/>
      <c r="N42" s="66"/>
      <c r="O42" s="66"/>
      <c r="P42" s="66"/>
      <c r="Q42" s="66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F42" s="65"/>
    </row>
    <row r="43" spans="1:32">
      <c r="A43" s="94">
        <v>31</v>
      </c>
      <c r="B43" s="94">
        <f>[1]CrossTimedRuns!B43</f>
        <v>0</v>
      </c>
      <c r="C43" s="57">
        <f>[1]CrossTimedRuns!C43</f>
        <v>0</v>
      </c>
      <c r="D43" s="57">
        <f>[1]CrossTimedRuns!D43</f>
        <v>0</v>
      </c>
      <c r="E43" s="94">
        <f>[1]CrossTimedRuns!L43</f>
        <v>9999</v>
      </c>
      <c r="G43" s="65"/>
      <c r="H43" s="69">
        <v>31</v>
      </c>
      <c r="I43" s="69">
        <f>B43</f>
        <v>0</v>
      </c>
      <c r="J43" s="69" t="str">
        <f t="shared" si="0"/>
        <v>21 0</v>
      </c>
      <c r="K43" s="69"/>
      <c r="L43" s="69">
        <v>100</v>
      </c>
      <c r="M43" s="65"/>
      <c r="N43" s="66"/>
      <c r="O43" s="66"/>
      <c r="P43" s="66"/>
      <c r="Q43" s="66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F43" s="65"/>
    </row>
    <row r="44" spans="1:32">
      <c r="A44" s="94">
        <v>32</v>
      </c>
      <c r="B44" s="94">
        <f>[1]CrossTimedRuns!B44</f>
        <v>0</v>
      </c>
      <c r="C44" s="57">
        <f>[1]CrossTimedRuns!C44</f>
        <v>0</v>
      </c>
      <c r="D44" s="57">
        <f>[1]CrossTimedRuns!D44</f>
        <v>0</v>
      </c>
      <c r="E44" s="94">
        <f>[1]CrossTimedRuns!L44</f>
        <v>9999</v>
      </c>
      <c r="G44" s="65"/>
      <c r="H44" s="69">
        <v>2</v>
      </c>
      <c r="I44" s="69">
        <f>B14</f>
        <v>100</v>
      </c>
      <c r="J44" s="69" t="str">
        <f t="shared" si="0"/>
        <v>19 Nicolo' Manna</v>
      </c>
      <c r="K44" s="104"/>
      <c r="L44" s="104"/>
      <c r="M44" s="65"/>
      <c r="N44" s="66"/>
      <c r="O44" s="66"/>
      <c r="P44" s="66"/>
      <c r="Q44" s="66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F44" s="65"/>
    </row>
  </sheetData>
  <mergeCells count="13">
    <mergeCell ref="A11:L11"/>
    <mergeCell ref="A7:B7"/>
    <mergeCell ref="C7:F7"/>
    <mergeCell ref="A8:B8"/>
    <mergeCell ref="C8:F8"/>
    <mergeCell ref="A9:B9"/>
    <mergeCell ref="C9:F9"/>
    <mergeCell ref="A1:I1"/>
    <mergeCell ref="A2:I2"/>
    <mergeCell ref="A5:B5"/>
    <mergeCell ref="C5:F5"/>
    <mergeCell ref="A6:B6"/>
    <mergeCell ref="C6:F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B28"/>
  <sheetViews>
    <sheetView workbookViewId="0">
      <selection activeCell="G23" sqref="G23"/>
    </sheetView>
  </sheetViews>
  <sheetFormatPr defaultRowHeight="13.2"/>
  <cols>
    <col min="1" max="1" width="14.6640625" customWidth="1"/>
    <col min="2" max="2" width="6.44140625" customWidth="1"/>
    <col min="3" max="3" width="15.6640625" customWidth="1"/>
    <col min="4" max="4" width="12" customWidth="1"/>
    <col min="8" max="8" width="14" customWidth="1"/>
    <col min="10" max="10" width="19.6640625" customWidth="1"/>
    <col min="12" max="12" width="10.33203125" customWidth="1"/>
    <col min="15" max="15" width="24.109375" customWidth="1"/>
    <col min="17" max="17" width="9.44140625" customWidth="1"/>
    <col min="18" max="18" width="10.109375" customWidth="1"/>
    <col min="20" max="20" width="18.88671875" customWidth="1"/>
    <col min="22" max="22" width="10.44140625" customWidth="1"/>
    <col min="25" max="25" width="29.33203125" customWidth="1"/>
    <col min="27" max="27" width="10.109375" customWidth="1"/>
  </cols>
  <sheetData>
    <row r="1" spans="1:28" ht="24.6">
      <c r="A1" s="159" t="s">
        <v>259</v>
      </c>
      <c r="B1" s="159"/>
      <c r="C1" s="159"/>
      <c r="D1" s="159"/>
      <c r="E1" s="159"/>
      <c r="F1" s="159"/>
      <c r="G1" s="159"/>
      <c r="H1" s="159"/>
      <c r="I1" s="159"/>
    </row>
    <row r="2" spans="1:28" ht="17.399999999999999">
      <c r="A2" s="160"/>
      <c r="B2" s="160"/>
      <c r="C2" s="160"/>
      <c r="D2" s="160"/>
      <c r="E2" s="160"/>
      <c r="F2" s="160"/>
      <c r="G2" s="160"/>
      <c r="H2" s="160"/>
      <c r="I2" s="160"/>
    </row>
    <row r="3" spans="1:28">
      <c r="A3" s="7"/>
      <c r="B3" s="1"/>
      <c r="C3" s="1"/>
      <c r="D3" s="1"/>
      <c r="E3" s="1"/>
      <c r="F3" s="1"/>
      <c r="G3" s="1"/>
      <c r="H3" s="1"/>
      <c r="I3" s="1"/>
      <c r="J3" s="1" t="s">
        <v>299</v>
      </c>
      <c r="K3" s="1" t="s">
        <v>219</v>
      </c>
      <c r="M3" t="s">
        <v>216</v>
      </c>
      <c r="N3" t="s">
        <v>224</v>
      </c>
    </row>
    <row r="4" spans="1:28" ht="13.8" thickBot="1">
      <c r="A4" s="7"/>
      <c r="B4" s="1"/>
      <c r="C4" s="1"/>
      <c r="D4" s="1"/>
      <c r="E4" s="1"/>
      <c r="F4" s="1"/>
      <c r="G4" s="1"/>
      <c r="H4" s="1"/>
      <c r="I4" s="1"/>
      <c r="J4" s="1" t="s">
        <v>300</v>
      </c>
      <c r="K4" s="1" t="s">
        <v>221</v>
      </c>
      <c r="M4" t="s">
        <v>217</v>
      </c>
      <c r="N4" s="141" t="s">
        <v>222</v>
      </c>
      <c r="O4" s="71"/>
    </row>
    <row r="5" spans="1:28">
      <c r="A5" s="161" t="s">
        <v>6</v>
      </c>
      <c r="B5" s="162"/>
      <c r="C5" s="163" t="s">
        <v>218</v>
      </c>
      <c r="D5" s="164"/>
      <c r="E5" s="164"/>
      <c r="F5" s="165"/>
      <c r="G5" s="1"/>
      <c r="H5" s="1"/>
      <c r="I5" s="36"/>
      <c r="J5" s="1" t="s">
        <v>301</v>
      </c>
      <c r="K5" s="1" t="s">
        <v>223</v>
      </c>
    </row>
    <row r="6" spans="1:28">
      <c r="A6" s="149" t="s">
        <v>7</v>
      </c>
      <c r="B6" s="150"/>
      <c r="C6" s="151" t="s">
        <v>258</v>
      </c>
      <c r="D6" s="152"/>
      <c r="E6" s="152"/>
      <c r="F6" s="153"/>
      <c r="G6" s="1"/>
      <c r="H6" s="1"/>
      <c r="I6" s="1"/>
      <c r="J6" s="1" t="s">
        <v>303</v>
      </c>
      <c r="K6" s="1" t="s">
        <v>220</v>
      </c>
      <c r="M6" t="s">
        <v>225</v>
      </c>
      <c r="N6" t="s">
        <v>226</v>
      </c>
    </row>
    <row r="7" spans="1:28">
      <c r="A7" s="149" t="s">
        <v>8</v>
      </c>
      <c r="B7" s="150"/>
      <c r="C7" s="151" t="s">
        <v>242</v>
      </c>
      <c r="D7" s="152"/>
      <c r="E7" s="152"/>
      <c r="F7" s="153"/>
      <c r="G7" s="1"/>
      <c r="H7" s="1"/>
      <c r="I7" s="1"/>
      <c r="J7" s="1" t="s">
        <v>302</v>
      </c>
      <c r="K7" s="1" t="s">
        <v>222</v>
      </c>
    </row>
    <row r="8" spans="1:28">
      <c r="A8" s="149" t="s">
        <v>9</v>
      </c>
      <c r="B8" s="150"/>
      <c r="C8" s="151" t="s">
        <v>104</v>
      </c>
      <c r="D8" s="152"/>
      <c r="E8" s="152"/>
      <c r="F8" s="153"/>
      <c r="G8" s="1"/>
      <c r="H8" s="1"/>
      <c r="I8" s="1"/>
      <c r="J8" s="1"/>
      <c r="K8" s="1"/>
    </row>
    <row r="9" spans="1:28" ht="13.8" thickBot="1">
      <c r="A9" s="154" t="s">
        <v>10</v>
      </c>
      <c r="B9" s="155"/>
      <c r="C9" s="156" t="s">
        <v>105</v>
      </c>
      <c r="D9" s="157"/>
      <c r="E9" s="157"/>
      <c r="F9" s="158"/>
      <c r="G9" s="1"/>
      <c r="H9" s="1"/>
      <c r="I9" s="1"/>
      <c r="J9" s="75" t="s">
        <v>306</v>
      </c>
      <c r="K9" s="75"/>
    </row>
    <row r="10" spans="1:28">
      <c r="A10" s="7"/>
      <c r="B10" s="1"/>
      <c r="C10" s="1"/>
      <c r="D10" s="1"/>
      <c r="E10" s="1"/>
      <c r="F10" s="1"/>
      <c r="G10" s="1"/>
      <c r="H10" s="1"/>
      <c r="I10" s="1"/>
    </row>
    <row r="11" spans="1:28">
      <c r="A11" s="172" t="s">
        <v>260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N11" s="37"/>
    </row>
    <row r="12" spans="1:28">
      <c r="A12" s="60" t="s">
        <v>91</v>
      </c>
      <c r="B12" s="60" t="s">
        <v>1</v>
      </c>
      <c r="C12" s="60" t="s">
        <v>2</v>
      </c>
      <c r="D12" s="60" t="s">
        <v>238</v>
      </c>
      <c r="E12" s="60" t="s">
        <v>92</v>
      </c>
      <c r="F12" s="179" t="s">
        <v>317</v>
      </c>
      <c r="G12" s="60" t="s">
        <v>318</v>
      </c>
      <c r="H12" s="60" t="s">
        <v>91</v>
      </c>
      <c r="I12" s="60" t="s">
        <v>1</v>
      </c>
      <c r="J12" s="60" t="s">
        <v>99</v>
      </c>
      <c r="K12" s="60" t="s">
        <v>100</v>
      </c>
      <c r="L12" s="60" t="s">
        <v>94</v>
      </c>
      <c r="M12" s="62" t="s">
        <v>95</v>
      </c>
      <c r="N12" s="61" t="s">
        <v>1</v>
      </c>
      <c r="O12" s="61" t="s">
        <v>99</v>
      </c>
      <c r="P12" s="60" t="s">
        <v>100</v>
      </c>
      <c r="Q12" s="61" t="s">
        <v>94</v>
      </c>
      <c r="R12" s="61" t="s">
        <v>96</v>
      </c>
      <c r="S12" s="61" t="s">
        <v>1</v>
      </c>
      <c r="T12" s="61" t="s">
        <v>99</v>
      </c>
      <c r="U12" s="60" t="s">
        <v>100</v>
      </c>
      <c r="V12" s="61" t="s">
        <v>94</v>
      </c>
      <c r="W12" s="63" t="s">
        <v>97</v>
      </c>
      <c r="X12" s="61" t="s">
        <v>1</v>
      </c>
      <c r="Y12" s="61" t="s">
        <v>99</v>
      </c>
      <c r="Z12" s="60" t="s">
        <v>100</v>
      </c>
      <c r="AA12" s="61" t="s">
        <v>18</v>
      </c>
      <c r="AB12" s="65"/>
    </row>
    <row r="13" spans="1:28">
      <c r="A13" s="59">
        <v>1</v>
      </c>
      <c r="B13" s="64">
        <v>134</v>
      </c>
      <c r="C13" s="57" t="s">
        <v>236</v>
      </c>
      <c r="D13" s="57">
        <v>2528719</v>
      </c>
      <c r="E13" s="178">
        <v>21.833085787451985</v>
      </c>
      <c r="F13">
        <v>3</v>
      </c>
      <c r="G13" s="141" t="s">
        <v>240</v>
      </c>
      <c r="H13" s="69">
        <v>1</v>
      </c>
      <c r="I13" s="69">
        <f>B13</f>
        <v>134</v>
      </c>
      <c r="J13" s="69" t="str">
        <f>RANK(VLOOKUP(I13,$B$13:$E$28,4,FALSE),$E$13:$E$28,0) &amp; " " &amp; VLOOKUP(I13,$B$13:$E$28,2,FALSE)</f>
        <v>1 Demi Corstjens</v>
      </c>
      <c r="K13" s="69"/>
      <c r="L13" s="74">
        <v>134</v>
      </c>
      <c r="N13" s="69">
        <f>L13</f>
        <v>134</v>
      </c>
      <c r="O13" s="69" t="str">
        <f>RANK(VLOOKUP(N13,$B$13:$E$28,4,FALSE),$E$13:$E$28,0) &amp; " " &amp; VLOOKUP(N13,$B$13:$E$28,2,FALSE)</f>
        <v>1 Demi Corstjens</v>
      </c>
      <c r="P13" s="69"/>
      <c r="Q13" s="74">
        <v>134</v>
      </c>
      <c r="R13" s="37"/>
      <c r="S13" s="69">
        <f>Q13</f>
        <v>134</v>
      </c>
      <c r="T13" s="70" t="str">
        <f>RANK(VLOOKUP(S13,$B$13:$E$28,4,FALSE),$E$13:$E$28,0) &amp; " " &amp; VLOOKUP(S13,$B$13:$E$28,2,FALSE)</f>
        <v>1 Demi Corstjens</v>
      </c>
      <c r="U13" s="70"/>
      <c r="V13" s="67">
        <v>113</v>
      </c>
      <c r="X13" s="69">
        <f>V13</f>
        <v>113</v>
      </c>
      <c r="Y13" s="69" t="str">
        <f>RANK(VLOOKUP(X13,$B$13:$E$28,4,FALSE),$E$13:$E$28,0) &amp; " " &amp; VLOOKUP(X13,$B$13:$E$28,2,FALSE)</f>
        <v>12 Robin Lammers</v>
      </c>
      <c r="Z13" s="69"/>
      <c r="AA13" s="74">
        <v>113</v>
      </c>
      <c r="AB13" s="65"/>
    </row>
    <row r="14" spans="1:28">
      <c r="A14" s="59">
        <v>2</v>
      </c>
      <c r="B14" s="64">
        <v>38</v>
      </c>
      <c r="C14" s="57" t="s">
        <v>179</v>
      </c>
      <c r="D14" s="57">
        <v>2530095</v>
      </c>
      <c r="E14" s="178">
        <v>21.826000000000001</v>
      </c>
      <c r="F14">
        <v>2</v>
      </c>
      <c r="G14" s="141" t="s">
        <v>239</v>
      </c>
      <c r="H14" s="69">
        <v>16</v>
      </c>
      <c r="I14" s="69" t="str">
        <f>B28</f>
        <v xml:space="preserve"> </v>
      </c>
      <c r="J14" s="69" t="e">
        <f>RANK(VLOOKUP(I14,$B$13:$E$28,4,FALSE),$E$13:$E$28,0) &amp; " " &amp; VLOOKUP(I14,$B$13:$E$28,2,FALSE)</f>
        <v>#VALUE!</v>
      </c>
      <c r="K14" s="69"/>
      <c r="L14" s="65"/>
      <c r="N14" s="69">
        <f>L15</f>
        <v>21</v>
      </c>
      <c r="O14" s="69" t="str">
        <f t="shared" ref="O14:O20" si="0">RANK(VLOOKUP(N14,$B$13:$E$28,4,FALSE),$E$13:$E$28,0) &amp; " " &amp; VLOOKUP(N14,$B$13:$E$28,2,FALSE)</f>
        <v>8 Ramsauer Katharina</v>
      </c>
      <c r="P14" s="69">
        <f>4+1+2+2+2</f>
        <v>11</v>
      </c>
      <c r="Q14" s="66"/>
      <c r="R14" s="37"/>
      <c r="S14" s="69">
        <f>Q15</f>
        <v>113</v>
      </c>
      <c r="T14" s="70" t="str">
        <f t="shared" ref="T14:T16" si="1">RANK(VLOOKUP(S14,$B$13:$E$28,4,FALSE),$E$13:$E$28,0) &amp; " " &amp; VLOOKUP(S14,$B$13:$E$28,2,FALSE)</f>
        <v>12 Robin Lammers</v>
      </c>
      <c r="U14" s="70">
        <f>3+3+3+2+3</f>
        <v>14</v>
      </c>
      <c r="V14" s="65"/>
      <c r="X14" s="69">
        <f>V15</f>
        <v>61</v>
      </c>
      <c r="Y14" s="69" t="str">
        <f>RANK(VLOOKUP(X14,$B$13:$E$28,4,FALSE),$E$13:$E$28,0) &amp; " " &amp; VLOOKUP(X14,$B$13:$E$28,2,FALSE)</f>
        <v>3 Hackl Karin</v>
      </c>
      <c r="Z14" s="78">
        <f>2+2+3+3+2</f>
        <v>12</v>
      </c>
      <c r="AA14" s="58" t="s">
        <v>19</v>
      </c>
      <c r="AB14" s="65"/>
    </row>
    <row r="15" spans="1:28">
      <c r="A15" s="59">
        <v>3</v>
      </c>
      <c r="B15" s="64">
        <v>61</v>
      </c>
      <c r="C15" s="57" t="s">
        <v>176</v>
      </c>
      <c r="D15" s="57">
        <v>2531087</v>
      </c>
      <c r="E15" s="178">
        <v>21.46</v>
      </c>
      <c r="F15">
        <v>1</v>
      </c>
      <c r="G15" s="141" t="s">
        <v>239</v>
      </c>
      <c r="H15" s="68">
        <v>9</v>
      </c>
      <c r="I15" s="68">
        <f>B21</f>
        <v>124</v>
      </c>
      <c r="J15" s="68" t="str">
        <f t="shared" ref="J15:J28" si="2">RANK(VLOOKUP(I15,$B$13:$E$28,4,FALSE),$E$13:$E$28,0) &amp; " " &amp; VLOOKUP(I15,$B$13:$E$28,2,FALSE)</f>
        <v>9 Jodie Grant</v>
      </c>
      <c r="K15" s="68"/>
      <c r="L15" s="68">
        <v>21</v>
      </c>
      <c r="N15" s="68">
        <f>L17</f>
        <v>113</v>
      </c>
      <c r="O15" s="68" t="str">
        <f t="shared" si="0"/>
        <v>12 Robin Lammers</v>
      </c>
      <c r="P15" s="68">
        <f>4+3+3+3+5</f>
        <v>18</v>
      </c>
      <c r="Q15" s="68">
        <v>113</v>
      </c>
      <c r="R15" s="37"/>
      <c r="S15" s="68">
        <f>Q17</f>
        <v>61</v>
      </c>
      <c r="T15" s="72" t="str">
        <f t="shared" si="1"/>
        <v>3 Hackl Karin</v>
      </c>
      <c r="U15" s="72">
        <f>3+3+3+3+4</f>
        <v>16</v>
      </c>
      <c r="V15" s="68">
        <v>61</v>
      </c>
      <c r="X15" s="65"/>
      <c r="Y15" s="65"/>
      <c r="Z15" s="65"/>
      <c r="AA15" s="74">
        <v>61</v>
      </c>
      <c r="AB15" s="65"/>
    </row>
    <row r="16" spans="1:28">
      <c r="A16" s="59">
        <v>4</v>
      </c>
      <c r="B16" s="64">
        <v>85</v>
      </c>
      <c r="C16" s="57" t="s">
        <v>212</v>
      </c>
      <c r="D16" s="57">
        <v>2532171</v>
      </c>
      <c r="E16" s="178">
        <v>19.208002560819462</v>
      </c>
      <c r="F16">
        <v>4</v>
      </c>
      <c r="G16" s="181" t="s">
        <v>207</v>
      </c>
      <c r="H16" s="68">
        <v>8</v>
      </c>
      <c r="I16" s="68">
        <f>B20</f>
        <v>21</v>
      </c>
      <c r="J16" s="68" t="str">
        <f t="shared" si="2"/>
        <v>8 Ramsauer Katharina</v>
      </c>
      <c r="K16" s="68">
        <f>5+3+3+3+5</f>
        <v>19</v>
      </c>
      <c r="L16" s="76"/>
      <c r="N16" s="68">
        <f>L19</f>
        <v>85</v>
      </c>
      <c r="O16" s="68" t="str">
        <f t="shared" si="0"/>
        <v>4 Camilla Bledig</v>
      </c>
      <c r="P16" s="68"/>
      <c r="Q16" s="77"/>
      <c r="R16" s="37"/>
      <c r="S16" s="68">
        <f>Q19</f>
        <v>38</v>
      </c>
      <c r="T16" s="72" t="str">
        <f t="shared" si="1"/>
        <v>2 Meilinger Melanie</v>
      </c>
      <c r="U16" s="72"/>
      <c r="V16" s="71"/>
      <c r="X16" s="65"/>
      <c r="Y16" s="65"/>
      <c r="Z16" s="65"/>
      <c r="AA16" s="65"/>
      <c r="AB16" s="65"/>
    </row>
    <row r="17" spans="1:28">
      <c r="A17" s="59">
        <v>5</v>
      </c>
      <c r="B17" s="64">
        <v>87</v>
      </c>
      <c r="C17" s="57" t="s">
        <v>153</v>
      </c>
      <c r="D17" s="57"/>
      <c r="E17" s="178">
        <v>18.854948783610755</v>
      </c>
      <c r="H17" s="69">
        <v>5</v>
      </c>
      <c r="I17" s="69">
        <f>B17</f>
        <v>87</v>
      </c>
      <c r="J17" s="69" t="str">
        <f>RANK(VLOOKUP(I17,$B$13:$E$28,4,FALSE),$E$13:$E$28,0) &amp; " " &amp; VLOOKUP(I17,$B$13:$E$28,2,FALSE)</f>
        <v>5 Thea Fenwick</v>
      </c>
      <c r="K17" s="69">
        <f>2+3+3+1+3</f>
        <v>12</v>
      </c>
      <c r="L17" s="74">
        <v>113</v>
      </c>
      <c r="N17" s="69">
        <f>L21</f>
        <v>61</v>
      </c>
      <c r="O17" s="69" t="str">
        <f t="shared" si="0"/>
        <v>3 Hackl Karin</v>
      </c>
      <c r="P17" s="69"/>
      <c r="Q17" s="74">
        <v>61</v>
      </c>
      <c r="W17" s="62" t="s">
        <v>98</v>
      </c>
      <c r="X17" s="58" t="s">
        <v>1</v>
      </c>
      <c r="Y17" s="58" t="s">
        <v>99</v>
      </c>
      <c r="Z17" s="60" t="s">
        <v>100</v>
      </c>
      <c r="AA17" s="58" t="s">
        <v>20</v>
      </c>
      <c r="AB17" s="65"/>
    </row>
    <row r="18" spans="1:28">
      <c r="A18" s="59">
        <v>6</v>
      </c>
      <c r="B18" s="64">
        <v>86</v>
      </c>
      <c r="C18" s="57" t="s">
        <v>233</v>
      </c>
      <c r="D18" s="57"/>
      <c r="E18" s="178">
        <v>15.873457106274007</v>
      </c>
      <c r="H18" s="69">
        <v>12</v>
      </c>
      <c r="I18" s="69">
        <f>B24</f>
        <v>113</v>
      </c>
      <c r="J18" s="69" t="str">
        <f t="shared" si="2"/>
        <v>12 Robin Lammers</v>
      </c>
      <c r="K18" s="69"/>
      <c r="L18" s="65"/>
      <c r="N18" s="69">
        <f>L23</f>
        <v>86</v>
      </c>
      <c r="O18" s="69" t="str">
        <f t="shared" si="0"/>
        <v>6 Janneke Berghuis</v>
      </c>
      <c r="P18" s="69">
        <f>0+0+1+1+0</f>
        <v>2</v>
      </c>
      <c r="Q18" s="65"/>
      <c r="X18" s="68">
        <v>134</v>
      </c>
      <c r="Y18" s="68" t="str">
        <f>RANK(VLOOKUP(X18,$B$13:$E$28,4,FALSE),$E$13:$E$28,0) &amp; " " &amp; VLOOKUP(X18,$B$13:$E$28,2,FALSE)</f>
        <v>1 Demi Corstjens</v>
      </c>
      <c r="Z18" s="68"/>
      <c r="AA18" s="74">
        <v>38</v>
      </c>
      <c r="AB18" s="65"/>
    </row>
    <row r="19" spans="1:28">
      <c r="A19" s="59">
        <v>7</v>
      </c>
      <c r="B19" s="64">
        <v>99</v>
      </c>
      <c r="C19" s="57" t="s">
        <v>184</v>
      </c>
      <c r="D19" s="57"/>
      <c r="E19" s="178">
        <v>14.563923175416134</v>
      </c>
      <c r="H19" s="68">
        <v>4</v>
      </c>
      <c r="I19" s="68">
        <f>B16</f>
        <v>85</v>
      </c>
      <c r="J19" s="68" t="str">
        <f t="shared" si="2"/>
        <v>4 Camilla Bledig</v>
      </c>
      <c r="K19" s="68"/>
      <c r="L19" s="68">
        <v>85</v>
      </c>
      <c r="N19" s="68">
        <f>L25</f>
        <v>99</v>
      </c>
      <c r="O19" s="68" t="str">
        <f t="shared" si="0"/>
        <v>7 Francesca Lee</v>
      </c>
      <c r="P19" s="68">
        <f>0+0+1+1+0</f>
        <v>2</v>
      </c>
      <c r="Q19" s="68">
        <v>38</v>
      </c>
      <c r="X19" s="68">
        <v>38</v>
      </c>
      <c r="Y19" s="68" t="str">
        <f>RANK(VLOOKUP(X19,$B$13:$E$28,4,FALSE),$E$13:$E$28,0) &amp; " " &amp; VLOOKUP(X19,$B$13:$E$28,2,FALSE)</f>
        <v>2 Meilinger Melanie</v>
      </c>
      <c r="Z19" s="79">
        <f>4+5+4+4+5</f>
        <v>22</v>
      </c>
      <c r="AA19" s="58" t="s">
        <v>21</v>
      </c>
      <c r="AB19" s="65"/>
    </row>
    <row r="20" spans="1:28">
      <c r="A20" s="59">
        <v>8</v>
      </c>
      <c r="B20" s="64">
        <v>21</v>
      </c>
      <c r="C20" s="57" t="s">
        <v>182</v>
      </c>
      <c r="D20" s="57">
        <v>2530097</v>
      </c>
      <c r="E20" s="178">
        <v>14.496408450704225</v>
      </c>
      <c r="F20">
        <v>5</v>
      </c>
      <c r="G20" s="141" t="s">
        <v>239</v>
      </c>
      <c r="H20" s="68">
        <v>13</v>
      </c>
      <c r="I20" s="68">
        <f>B25</f>
        <v>23</v>
      </c>
      <c r="J20" s="68" t="str">
        <f t="shared" si="2"/>
        <v>13 Laura Berghuis</v>
      </c>
      <c r="K20" s="68">
        <f>1+2+2+3+1</f>
        <v>9</v>
      </c>
      <c r="L20" s="76"/>
      <c r="N20" s="68">
        <f>L27</f>
        <v>38</v>
      </c>
      <c r="O20" s="68" t="str">
        <f t="shared" si="0"/>
        <v>2 Meilinger Melanie</v>
      </c>
      <c r="P20" s="68"/>
      <c r="Q20" s="76"/>
      <c r="X20" s="65"/>
      <c r="Y20" s="65"/>
      <c r="Z20" s="65"/>
      <c r="AA20" s="74">
        <v>134</v>
      </c>
      <c r="AB20" s="65"/>
    </row>
    <row r="21" spans="1:28">
      <c r="A21" s="59">
        <v>9</v>
      </c>
      <c r="B21" s="64">
        <v>124</v>
      </c>
      <c r="C21" s="57" t="s">
        <v>241</v>
      </c>
      <c r="D21" s="57"/>
      <c r="E21" s="178">
        <v>14.364837387964146</v>
      </c>
      <c r="H21" s="69">
        <v>3</v>
      </c>
      <c r="I21" s="69">
        <f>B15</f>
        <v>61</v>
      </c>
      <c r="J21" s="69" t="str">
        <f t="shared" si="2"/>
        <v>3 Hackl Karin</v>
      </c>
      <c r="K21" s="69"/>
      <c r="L21" s="74">
        <v>61</v>
      </c>
    </row>
    <row r="22" spans="1:28">
      <c r="A22" s="59">
        <v>10</v>
      </c>
      <c r="B22" s="64">
        <v>93</v>
      </c>
      <c r="C22" s="57" t="s">
        <v>208</v>
      </c>
      <c r="D22" s="57">
        <v>2531506</v>
      </c>
      <c r="E22" s="178">
        <v>8.7035902688860443</v>
      </c>
      <c r="F22">
        <v>6</v>
      </c>
      <c r="G22" s="141" t="s">
        <v>209</v>
      </c>
      <c r="H22" s="69">
        <v>14</v>
      </c>
      <c r="I22" s="69">
        <f>B26</f>
        <v>62</v>
      </c>
      <c r="J22" s="69" t="str">
        <f t="shared" si="2"/>
        <v>14 Stefanie Burger</v>
      </c>
      <c r="K22" s="69">
        <f>0+1+1+2+1</f>
        <v>5</v>
      </c>
      <c r="L22" s="65"/>
    </row>
    <row r="23" spans="1:28">
      <c r="A23" s="59">
        <v>11</v>
      </c>
      <c r="B23" s="64">
        <v>72</v>
      </c>
      <c r="C23" s="57" t="s">
        <v>234</v>
      </c>
      <c r="D23" s="57"/>
      <c r="E23" s="178">
        <v>7.3901152368757996</v>
      </c>
      <c r="H23" s="68">
        <v>6</v>
      </c>
      <c r="I23" s="68">
        <f>B18</f>
        <v>86</v>
      </c>
      <c r="J23" s="68" t="str">
        <f t="shared" si="2"/>
        <v>6 Janneke Berghuis</v>
      </c>
      <c r="K23" s="68"/>
      <c r="L23" s="68">
        <v>86</v>
      </c>
    </row>
    <row r="24" spans="1:28">
      <c r="A24" s="59">
        <v>12</v>
      </c>
      <c r="B24" s="64">
        <v>113</v>
      </c>
      <c r="C24" s="57" t="s">
        <v>235</v>
      </c>
      <c r="D24" s="57"/>
      <c r="E24" s="178">
        <v>6.5185339308578749</v>
      </c>
      <c r="H24" s="68">
        <v>11</v>
      </c>
      <c r="I24" s="68">
        <f>B23</f>
        <v>72</v>
      </c>
      <c r="J24" s="68" t="str">
        <f t="shared" si="2"/>
        <v>11 Esmee Burger</v>
      </c>
      <c r="K24" s="68">
        <v>0</v>
      </c>
      <c r="L24" s="76"/>
    </row>
    <row r="25" spans="1:28">
      <c r="A25" s="59">
        <v>13</v>
      </c>
      <c r="B25" s="64">
        <v>23</v>
      </c>
      <c r="C25" s="57" t="s">
        <v>232</v>
      </c>
      <c r="D25" s="57"/>
      <c r="E25" s="178">
        <v>0.01</v>
      </c>
      <c r="H25" s="69">
        <v>7</v>
      </c>
      <c r="I25" s="69">
        <f>B19</f>
        <v>99</v>
      </c>
      <c r="J25" s="69" t="str">
        <f t="shared" si="2"/>
        <v>7 Francesca Lee</v>
      </c>
      <c r="K25" s="69">
        <f>1+3+3+3+3</f>
        <v>13</v>
      </c>
      <c r="L25" s="74">
        <v>99</v>
      </c>
    </row>
    <row r="26" spans="1:28">
      <c r="A26" s="59">
        <v>14</v>
      </c>
      <c r="B26" s="64">
        <v>62</v>
      </c>
      <c r="C26" s="57" t="s">
        <v>231</v>
      </c>
      <c r="D26" s="57"/>
      <c r="E26" s="178">
        <v>0</v>
      </c>
      <c r="H26" s="69">
        <v>10</v>
      </c>
      <c r="I26" s="69">
        <f>B22</f>
        <v>93</v>
      </c>
      <c r="J26" s="69" t="str">
        <f t="shared" si="2"/>
        <v>10 Claudia Grassi</v>
      </c>
      <c r="K26" s="69"/>
      <c r="L26" s="65"/>
      <c r="V26" s="73"/>
    </row>
    <row r="27" spans="1:28">
      <c r="A27" s="59">
        <v>15</v>
      </c>
      <c r="B27" s="98" t="s">
        <v>305</v>
      </c>
      <c r="C27" s="57" t="s">
        <v>305</v>
      </c>
      <c r="D27" s="57" t="s">
        <v>305</v>
      </c>
      <c r="E27" s="98" t="s">
        <v>305</v>
      </c>
      <c r="H27" s="68">
        <v>15</v>
      </c>
      <c r="I27" s="68" t="str">
        <f>B27</f>
        <v xml:space="preserve"> </v>
      </c>
      <c r="J27" s="68" t="e">
        <f t="shared" si="2"/>
        <v>#VALUE!</v>
      </c>
      <c r="K27" s="68"/>
      <c r="L27" s="68">
        <v>38</v>
      </c>
    </row>
    <row r="28" spans="1:28">
      <c r="A28" s="59">
        <v>16</v>
      </c>
      <c r="B28" s="98" t="s">
        <v>305</v>
      </c>
      <c r="C28" s="57" t="s">
        <v>305</v>
      </c>
      <c r="D28" s="57" t="s">
        <v>305</v>
      </c>
      <c r="E28" s="98" t="s">
        <v>305</v>
      </c>
      <c r="H28" s="68">
        <v>2</v>
      </c>
      <c r="I28" s="68">
        <f>B14</f>
        <v>38</v>
      </c>
      <c r="J28" s="68" t="str">
        <f t="shared" si="2"/>
        <v>2 Meilinger Melanie</v>
      </c>
      <c r="K28" s="68"/>
      <c r="L28" s="76"/>
      <c r="M28" s="73"/>
    </row>
  </sheetData>
  <mergeCells count="13">
    <mergeCell ref="A11:L11"/>
    <mergeCell ref="A1:I1"/>
    <mergeCell ref="A2:I2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</mergeCells>
  <pageMargins left="0.7" right="0.7" top="0.75" bottom="0.75" header="0.3" footer="0.3"/>
  <pageSetup paperSize="9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P92"/>
  <sheetViews>
    <sheetView topLeftCell="A10" workbookViewId="0">
      <selection activeCell="E41" sqref="E41"/>
    </sheetView>
  </sheetViews>
  <sheetFormatPr defaultColWidth="11.44140625" defaultRowHeight="13.2"/>
  <cols>
    <col min="2" max="2" width="8.109375" customWidth="1"/>
    <col min="3" max="3" width="4.5546875" customWidth="1"/>
    <col min="4" max="4" width="22" customWidth="1"/>
    <col min="5" max="5" width="9.5546875" customWidth="1"/>
    <col min="6" max="6" width="11.109375" customWidth="1"/>
    <col min="8" max="8" width="10.88671875" customWidth="1"/>
  </cols>
  <sheetData>
    <row r="1" spans="1:42" ht="24.6">
      <c r="A1" s="159"/>
      <c r="B1" s="159"/>
      <c r="C1" s="159"/>
      <c r="D1" s="159"/>
      <c r="E1" s="159"/>
      <c r="F1" s="159"/>
      <c r="G1" s="159"/>
      <c r="H1" s="159"/>
      <c r="I1" s="15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2" ht="17.399999999999999">
      <c r="A2" s="160" t="s">
        <v>259</v>
      </c>
      <c r="B2" s="160"/>
      <c r="C2" s="160"/>
      <c r="D2" s="160"/>
      <c r="E2" s="160"/>
      <c r="F2" s="160"/>
      <c r="G2" s="160"/>
      <c r="H2" s="160"/>
      <c r="I2" s="16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42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42" ht="13.8" thickBot="1">
      <c r="A4" s="7"/>
      <c r="B4" s="1"/>
      <c r="C4" s="1"/>
      <c r="D4" s="1"/>
      <c r="E4" s="1"/>
      <c r="F4" s="1"/>
      <c r="G4" s="1"/>
      <c r="H4" s="1"/>
      <c r="I4" s="1"/>
      <c r="J4" s="1" t="s">
        <v>152</v>
      </c>
      <c r="K4" s="1" t="s">
        <v>151</v>
      </c>
      <c r="L4" s="1"/>
      <c r="M4" s="1" t="s">
        <v>11</v>
      </c>
      <c r="N4" s="1" t="s">
        <v>219</v>
      </c>
      <c r="O4" s="1"/>
      <c r="P4" s="1" t="s">
        <v>216</v>
      </c>
      <c r="Q4" s="1" t="s">
        <v>224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42">
      <c r="A5" s="161" t="s">
        <v>6</v>
      </c>
      <c r="B5" s="162"/>
      <c r="C5" s="163" t="s">
        <v>255</v>
      </c>
      <c r="D5" s="164"/>
      <c r="E5" s="164"/>
      <c r="F5" s="165"/>
      <c r="G5" s="1"/>
      <c r="H5" s="1"/>
      <c r="I5" s="36" t="s">
        <v>69</v>
      </c>
      <c r="J5" s="1">
        <v>17.57</v>
      </c>
      <c r="K5" s="1">
        <v>20.71</v>
      </c>
      <c r="L5" s="1"/>
      <c r="M5" s="1" t="s">
        <v>12</v>
      </c>
      <c r="N5" s="1" t="s">
        <v>308</v>
      </c>
      <c r="O5" s="1"/>
      <c r="P5" s="1" t="s">
        <v>217</v>
      </c>
      <c r="Q5" s="1" t="s">
        <v>222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42">
      <c r="A6" s="149" t="s">
        <v>7</v>
      </c>
      <c r="B6" s="150"/>
      <c r="C6" s="151" t="s">
        <v>258</v>
      </c>
      <c r="D6" s="152"/>
      <c r="E6" s="152"/>
      <c r="F6" s="153"/>
      <c r="G6" s="1"/>
      <c r="H6" s="1"/>
      <c r="I6" s="1"/>
      <c r="J6" s="1"/>
      <c r="K6" s="1"/>
      <c r="L6" s="1"/>
      <c r="M6" s="1" t="s">
        <v>15</v>
      </c>
      <c r="N6" s="1" t="s">
        <v>221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42">
      <c r="A7" s="149" t="s">
        <v>8</v>
      </c>
      <c r="B7" s="150"/>
      <c r="C7" s="151" t="s">
        <v>311</v>
      </c>
      <c r="D7" s="152"/>
      <c r="E7" s="152"/>
      <c r="F7" s="153"/>
      <c r="G7" s="1"/>
      <c r="H7" s="1"/>
      <c r="I7" s="1"/>
      <c r="J7" s="1"/>
      <c r="K7" s="1"/>
      <c r="L7" s="1"/>
      <c r="M7" s="1" t="s">
        <v>214</v>
      </c>
      <c r="N7" s="1" t="s">
        <v>222</v>
      </c>
      <c r="O7" s="1"/>
      <c r="P7" s="1" t="s">
        <v>225</v>
      </c>
      <c r="Q7" s="1" t="s">
        <v>226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42">
      <c r="A8" s="149" t="s">
        <v>9</v>
      </c>
      <c r="B8" s="150"/>
      <c r="C8" s="151" t="s">
        <v>104</v>
      </c>
      <c r="D8" s="152"/>
      <c r="E8" s="152"/>
      <c r="F8" s="153"/>
      <c r="G8" s="1"/>
      <c r="H8" s="1"/>
      <c r="I8" s="1"/>
      <c r="J8" s="1"/>
      <c r="K8" s="1"/>
      <c r="L8" s="1"/>
      <c r="M8" s="1" t="s">
        <v>215</v>
      </c>
      <c r="N8" s="1" t="s">
        <v>223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42" ht="13.8" thickBot="1">
      <c r="A9" s="154" t="s">
        <v>10</v>
      </c>
      <c r="B9" s="155"/>
      <c r="C9" s="156" t="s">
        <v>307</v>
      </c>
      <c r="D9" s="157"/>
      <c r="E9" s="157"/>
      <c r="F9" s="15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37"/>
      <c r="AO9" s="37"/>
      <c r="AP9" s="37"/>
    </row>
    <row r="10" spans="1:42" ht="13.8" thickBot="1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9"/>
      <c r="AO10" s="37"/>
      <c r="AP10" s="37"/>
    </row>
    <row r="11" spans="1:42" ht="13.8" thickBot="1">
      <c r="A11" s="8"/>
      <c r="B11" s="5"/>
      <c r="C11" s="5"/>
      <c r="D11" s="5"/>
      <c r="E11" s="20" t="s">
        <v>310</v>
      </c>
      <c r="F11" s="5"/>
      <c r="G11" s="5"/>
      <c r="H11" s="5"/>
      <c r="I11" s="6"/>
      <c r="J11" s="21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45"/>
      <c r="X11" s="38"/>
      <c r="Y11" s="38"/>
      <c r="Z11" s="38"/>
      <c r="AA11" s="38"/>
      <c r="AB11" s="38"/>
      <c r="AC11" s="38"/>
      <c r="AD11" s="38"/>
      <c r="AE11" s="38"/>
      <c r="AF11" s="38"/>
      <c r="AG11" s="40"/>
      <c r="AH11" s="38"/>
      <c r="AI11" s="38"/>
      <c r="AJ11" s="38"/>
      <c r="AK11" s="38"/>
      <c r="AL11" s="40"/>
      <c r="AM11" s="38"/>
      <c r="AN11" s="39"/>
      <c r="AO11" s="37"/>
      <c r="AP11" s="37"/>
    </row>
    <row r="12" spans="1:42" ht="13.8" thickBot="1">
      <c r="A12" s="2" t="s">
        <v>0</v>
      </c>
      <c r="B12" s="3" t="s">
        <v>1</v>
      </c>
      <c r="C12" s="3" t="s">
        <v>252</v>
      </c>
      <c r="D12" s="3" t="s">
        <v>111</v>
      </c>
      <c r="E12" s="3" t="s">
        <v>238</v>
      </c>
      <c r="F12" s="3" t="s">
        <v>16</v>
      </c>
      <c r="G12" s="3" t="s">
        <v>3</v>
      </c>
      <c r="H12" s="3" t="s">
        <v>4</v>
      </c>
      <c r="I12" s="4" t="s">
        <v>5</v>
      </c>
      <c r="J12" s="2" t="s">
        <v>11</v>
      </c>
      <c r="K12" s="3" t="s">
        <v>12</v>
      </c>
      <c r="L12" s="3" t="s">
        <v>13</v>
      </c>
      <c r="M12" s="3" t="s">
        <v>66</v>
      </c>
      <c r="N12" s="3" t="s">
        <v>65</v>
      </c>
      <c r="O12" s="3" t="s">
        <v>67</v>
      </c>
      <c r="P12" s="3" t="s">
        <v>68</v>
      </c>
      <c r="Q12" s="3" t="s">
        <v>59</v>
      </c>
      <c r="R12" s="3" t="s">
        <v>60</v>
      </c>
      <c r="S12" s="3" t="s">
        <v>22</v>
      </c>
      <c r="T12" s="3" t="s">
        <v>314</v>
      </c>
      <c r="U12" s="3" t="s">
        <v>315</v>
      </c>
      <c r="V12" s="3" t="s">
        <v>316</v>
      </c>
      <c r="W12" s="46" t="s">
        <v>14</v>
      </c>
      <c r="X12" s="41"/>
      <c r="Y12" s="41"/>
      <c r="Z12" s="41"/>
      <c r="AA12" s="41"/>
      <c r="AB12" s="42"/>
      <c r="AC12" s="41"/>
      <c r="AD12" s="41"/>
      <c r="AE12" s="41"/>
      <c r="AF12" s="41"/>
      <c r="AG12" s="42"/>
      <c r="AH12" s="41"/>
      <c r="AI12" s="41"/>
      <c r="AJ12" s="41"/>
      <c r="AK12" s="41"/>
      <c r="AL12" s="42"/>
      <c r="AM12" s="43"/>
      <c r="AN12" s="39"/>
      <c r="AO12" s="37"/>
      <c r="AP12" s="37"/>
    </row>
    <row r="13" spans="1:42">
      <c r="A13" s="19">
        <f t="shared" ref="A13:A26" si="0">RANK(W13,$W$13:$W$26,0)</f>
        <v>1</v>
      </c>
      <c r="B13" s="32">
        <v>38</v>
      </c>
      <c r="C13" s="22">
        <v>3</v>
      </c>
      <c r="D13" s="22" t="s">
        <v>179</v>
      </c>
      <c r="E13" s="22">
        <v>2530095</v>
      </c>
      <c r="F13" s="22" t="s">
        <v>173</v>
      </c>
      <c r="G13" s="22" t="s">
        <v>239</v>
      </c>
      <c r="H13" s="22" t="s">
        <v>180</v>
      </c>
      <c r="I13" s="23" t="s">
        <v>181</v>
      </c>
      <c r="J13" s="24">
        <v>4</v>
      </c>
      <c r="K13" s="25">
        <v>4</v>
      </c>
      <c r="L13" s="25">
        <v>4.0999999999999996</v>
      </c>
      <c r="M13" s="51">
        <v>2</v>
      </c>
      <c r="N13" s="51">
        <v>1.9</v>
      </c>
      <c r="O13" s="49">
        <v>1.9</v>
      </c>
      <c r="P13" s="49">
        <v>2</v>
      </c>
      <c r="Q13" s="49" t="s">
        <v>270</v>
      </c>
      <c r="R13" s="49" t="s">
        <v>279</v>
      </c>
      <c r="S13" s="25">
        <v>19.11</v>
      </c>
      <c r="T13" s="143">
        <f>(J13+K13+L13)</f>
        <v>12.1</v>
      </c>
      <c r="U13" s="143">
        <f>IF((VLOOKUP(Q13,MogulsDD!$A$1:$D$1000,4,FALSE)*(M13+O13)/2)&gt;3.75,3.75,VLOOKUP(Q13,MogulsDD!$A$1:$D$1000,4,FALSE)*(M13+O13)/2)+IF((VLOOKUP(R13,MogulsDD!$A$1:$D$1000,4,FALSE)*(N13+P13)/2)&gt;3.75,3.75,VLOOKUP(R13,MogulsDD!$A$1:$D$1000,4,FALSE)*(N13+P13)/2)</f>
        <v>3.8220000000000001</v>
      </c>
      <c r="V13" s="143">
        <f>IF((18-12*S13/$K$5)&gt;7.5,7.5,IF((18-12*S13/$K$5)&lt;0,0,(18-12*S13/$K$5)))</f>
        <v>6.9270883631096094</v>
      </c>
      <c r="W13" s="144">
        <f>(J13+K13+L13)+IF((VLOOKUP(Q13,MogulsDD!$A$1:$D$1000,4,FALSE)*(M13+O13)/2)&gt;3.75,3.75,VLOOKUP(Q13,MogulsDD!$A$1:$D$1000,4,FALSE)*(M13+O13)/2)+IF((VLOOKUP(R13,MogulsDD!$A$1:$D$1000,4,FALSE)*(N13+P13)/2)&gt;3.75,3.75,VLOOKUP(R13,MogulsDD!$A$1:$D$1000,4,FALSE)*(N13+P13)/2)+IF((18-12*S13/$K$5)&gt;7.5,7.5,IF((18-12*S13/$K$5)&lt;0,0,(18-12*S13/$K$5)))</f>
        <v>22.849088363109608</v>
      </c>
      <c r="X13" s="38"/>
      <c r="Y13" s="38"/>
      <c r="Z13" s="38"/>
      <c r="AA13" s="38"/>
      <c r="AB13" s="39"/>
      <c r="AC13" s="38"/>
      <c r="AD13" s="38"/>
      <c r="AE13" s="38"/>
      <c r="AF13" s="38"/>
      <c r="AG13" s="39"/>
      <c r="AH13" s="38"/>
      <c r="AI13" s="38"/>
      <c r="AJ13" s="38"/>
      <c r="AK13" s="38"/>
      <c r="AL13" s="39"/>
      <c r="AM13" s="44"/>
      <c r="AN13" s="39"/>
      <c r="AO13" s="37"/>
      <c r="AP13" s="37"/>
    </row>
    <row r="14" spans="1:42">
      <c r="A14" s="19">
        <f t="shared" si="0"/>
        <v>2</v>
      </c>
      <c r="B14" s="32">
        <v>134</v>
      </c>
      <c r="C14" s="22">
        <v>8</v>
      </c>
      <c r="D14" s="22" t="s">
        <v>236</v>
      </c>
      <c r="E14" s="22">
        <v>2528719</v>
      </c>
      <c r="F14" s="22"/>
      <c r="G14" s="22" t="s">
        <v>240</v>
      </c>
      <c r="H14" s="22" t="s">
        <v>251</v>
      </c>
      <c r="I14" s="23"/>
      <c r="J14" s="27">
        <v>3.7</v>
      </c>
      <c r="K14" s="25">
        <v>3.8</v>
      </c>
      <c r="L14" s="28">
        <v>4</v>
      </c>
      <c r="M14" s="52">
        <v>1.7</v>
      </c>
      <c r="N14" s="52">
        <v>1.5</v>
      </c>
      <c r="O14" s="49">
        <v>1.6</v>
      </c>
      <c r="P14" s="49">
        <v>1.6</v>
      </c>
      <c r="Q14" s="49" t="s">
        <v>276</v>
      </c>
      <c r="R14" s="49" t="s">
        <v>61</v>
      </c>
      <c r="S14" s="25">
        <v>20.63</v>
      </c>
      <c r="T14" s="143">
        <f t="shared" ref="T14:T26" si="1">(J14+K14+L14)</f>
        <v>11.5</v>
      </c>
      <c r="U14" s="143">
        <f>IF((VLOOKUP(Q14,MogulsDD!$A$1:$D$1000,4,FALSE)*(M14+O14)/2)&gt;3.75,3.75,VLOOKUP(Q14,MogulsDD!$A$1:$D$1000,4,FALSE)*(M14+O14)/2)+IF((VLOOKUP(R14,MogulsDD!$A$1:$D$1000,4,FALSE)*(N14+P14)/2)&gt;3.75,3.75,VLOOKUP(R14,MogulsDD!$A$1:$D$1000,4,FALSE)*(N14+P14)/2)</f>
        <v>3.84</v>
      </c>
      <c r="V14" s="143">
        <f t="shared" ref="V14:V26" si="2">IF((18-12*S14/$K$5)&gt;7.5,7.5,IF((18-12*S14/$K$5)&lt;0,0,(18-12*S14/$K$5)))</f>
        <v>6.0463544181554809</v>
      </c>
      <c r="W14" s="144">
        <f>(J14+K14+L14)+IF((VLOOKUP(Q14,MogulsDD!$A$1:$D$1000,4,FALSE)*(M14+O14)/2)&gt;3.75,3.75,VLOOKUP(Q14,MogulsDD!$A$1:$D$1000,4,FALSE)*(M14+O14)/2)+IF((VLOOKUP(R14,MogulsDD!$A$1:$D$1000,4,FALSE)*(N14+P14)/2)&gt;3.75,3.75,VLOOKUP(R14,MogulsDD!$A$1:$D$1000,4,FALSE)*(N14+P14)/2)+IF((18-12*S14/$K$5)&gt;7.5,7.5,IF((18-12*S14/$K$5)&lt;0,0,(18-12*S14/$K$5)))</f>
        <v>21.386354418155481</v>
      </c>
      <c r="X14" s="38"/>
      <c r="Y14" s="38"/>
      <c r="Z14" s="38"/>
      <c r="AA14" s="38"/>
      <c r="AB14" s="39"/>
      <c r="AC14" s="38"/>
      <c r="AD14" s="38"/>
      <c r="AE14" s="38"/>
      <c r="AF14" s="38"/>
      <c r="AG14" s="39"/>
      <c r="AH14" s="38"/>
      <c r="AI14" s="38"/>
      <c r="AJ14" s="38"/>
      <c r="AK14" s="38"/>
      <c r="AL14" s="39"/>
      <c r="AM14" s="44"/>
      <c r="AN14" s="39"/>
      <c r="AO14" s="37"/>
      <c r="AP14" s="37"/>
    </row>
    <row r="15" spans="1:42">
      <c r="A15" s="19">
        <f t="shared" si="0"/>
        <v>3</v>
      </c>
      <c r="B15" s="32">
        <v>21</v>
      </c>
      <c r="C15" s="22">
        <v>1</v>
      </c>
      <c r="D15" s="22" t="s">
        <v>182</v>
      </c>
      <c r="E15" s="22">
        <v>2530097</v>
      </c>
      <c r="F15" s="22" t="s">
        <v>173</v>
      </c>
      <c r="G15" s="22" t="s">
        <v>239</v>
      </c>
      <c r="H15" s="22" t="s">
        <v>183</v>
      </c>
      <c r="I15" s="23" t="s">
        <v>115</v>
      </c>
      <c r="J15" s="27">
        <v>3.6</v>
      </c>
      <c r="K15" s="25">
        <v>3.4</v>
      </c>
      <c r="L15" s="28">
        <v>3.3</v>
      </c>
      <c r="M15" s="52">
        <v>1.6</v>
      </c>
      <c r="N15" s="52">
        <v>1.3</v>
      </c>
      <c r="O15" s="49">
        <v>2</v>
      </c>
      <c r="P15" s="49">
        <v>1.6</v>
      </c>
      <c r="Q15" s="49" t="s">
        <v>61</v>
      </c>
      <c r="R15" s="49" t="s">
        <v>275</v>
      </c>
      <c r="S15" s="25">
        <v>21.32</v>
      </c>
      <c r="T15" s="143">
        <f t="shared" si="1"/>
        <v>10.3</v>
      </c>
      <c r="U15" s="143">
        <f>IF((VLOOKUP(Q15,MogulsDD!$A$1:$D$1000,4,FALSE)*(M15+O15)/2)&gt;3.75,3.75,VLOOKUP(Q15,MogulsDD!$A$1:$D$1000,4,FALSE)*(M15+O15)/2)+IF((VLOOKUP(R15,MogulsDD!$A$1:$D$1000,4,FALSE)*(N15+P15)/2)&gt;3.75,3.75,VLOOKUP(R15,MogulsDD!$A$1:$D$1000,4,FALSE)*(N15+P15)/2)</f>
        <v>3.5230000000000001</v>
      </c>
      <c r="V15" s="143">
        <f t="shared" si="2"/>
        <v>5.6465475615644625</v>
      </c>
      <c r="W15" s="144">
        <f>(J15+K15+L15)+IF((VLOOKUP(Q15,MogulsDD!$A$1:$D$1000,4,FALSE)*(M15+O15)/2)&gt;3.75,3.75,VLOOKUP(Q15,MogulsDD!$A$1:$D$1000,4,FALSE)*(M15+O15)/2)+IF((VLOOKUP(R15,MogulsDD!$A$1:$D$1000,4,FALSE)*(N15+P15)/2)&gt;3.75,3.75,VLOOKUP(R15,MogulsDD!$A$1:$D$1000,4,FALSE)*(N15+P15)/2)+IF((18-12*S15/$K$5)&gt;7.5,7.5,IF((18-12*S15/$K$5)&lt;0,0,(18-12*S15/$K$5)))</f>
        <v>19.469547561564461</v>
      </c>
      <c r="X15" s="38"/>
      <c r="Y15" s="38"/>
      <c r="Z15" s="38"/>
      <c r="AA15" s="38"/>
      <c r="AB15" s="39"/>
      <c r="AC15" s="38"/>
      <c r="AD15" s="38"/>
      <c r="AE15" s="38"/>
      <c r="AF15" s="38"/>
      <c r="AG15" s="39"/>
      <c r="AH15" s="38"/>
      <c r="AI15" s="38"/>
      <c r="AJ15" s="38"/>
      <c r="AK15" s="38"/>
      <c r="AL15" s="39"/>
      <c r="AM15" s="44"/>
      <c r="AN15" s="39"/>
      <c r="AO15" s="37"/>
      <c r="AP15" s="37"/>
    </row>
    <row r="16" spans="1:42">
      <c r="A16" s="19">
        <f t="shared" si="0"/>
        <v>4</v>
      </c>
      <c r="B16" s="32">
        <v>113</v>
      </c>
      <c r="C16" s="22">
        <v>6</v>
      </c>
      <c r="D16" s="22" t="s">
        <v>235</v>
      </c>
      <c r="E16" s="22"/>
      <c r="F16" s="22"/>
      <c r="G16" s="22" t="s">
        <v>240</v>
      </c>
      <c r="H16" s="22" t="s">
        <v>250</v>
      </c>
      <c r="I16" s="23"/>
      <c r="J16" s="27">
        <v>3</v>
      </c>
      <c r="K16" s="25">
        <v>3</v>
      </c>
      <c r="L16" s="28">
        <v>3</v>
      </c>
      <c r="M16" s="52">
        <v>1.9</v>
      </c>
      <c r="N16" s="52">
        <v>1.4</v>
      </c>
      <c r="O16" s="49">
        <v>2</v>
      </c>
      <c r="P16" s="49">
        <v>1.2</v>
      </c>
      <c r="Q16" s="49" t="s">
        <v>274</v>
      </c>
      <c r="R16" s="49" t="s">
        <v>276</v>
      </c>
      <c r="S16" s="25">
        <v>19.34</v>
      </c>
      <c r="T16" s="143">
        <f t="shared" si="1"/>
        <v>9</v>
      </c>
      <c r="U16" s="143">
        <f>IF((VLOOKUP(Q16,MogulsDD!$A$1:$D$1000,4,FALSE)*(M16+O16)/2)&gt;3.75,3.75,VLOOKUP(Q16,MogulsDD!$A$1:$D$1000,4,FALSE)*(M16+O16)/2)+IF((VLOOKUP(R16,MogulsDD!$A$1:$D$1000,4,FALSE)*(N16+P16)/2)&gt;3.75,3.75,VLOOKUP(R16,MogulsDD!$A$1:$D$1000,4,FALSE)*(N16+P16)/2)</f>
        <v>3.0614999999999997</v>
      </c>
      <c r="V16" s="143">
        <f t="shared" si="2"/>
        <v>6.7938194109126044</v>
      </c>
      <c r="W16" s="144">
        <f>(J16+K16+L16)+IF((VLOOKUP(Q16,MogulsDD!$A$1:$D$1000,4,FALSE)*(M16+O16)/2)&gt;3.75,3.75,VLOOKUP(Q16,MogulsDD!$A$1:$D$1000,4,FALSE)*(M16+O16)/2)+IF((VLOOKUP(R16,MogulsDD!$A$1:$D$1000,4,FALSE)*(N16+P16)/2)&gt;3.75,3.75,VLOOKUP(R16,MogulsDD!$A$1:$D$1000,4,FALSE)*(N16+P16)/2)+IF((18-12*S16/$K$5)&gt;7.5,7.5,IF((18-12*S16/$K$5)&lt;0,0,(18-12*S16/$K$5)))</f>
        <v>18.855319410912607</v>
      </c>
      <c r="X16" s="38"/>
      <c r="Y16" s="38"/>
      <c r="Z16" s="38"/>
      <c r="AA16" s="38"/>
      <c r="AB16" s="39"/>
      <c r="AC16" s="38"/>
      <c r="AD16" s="38"/>
      <c r="AE16" s="38"/>
      <c r="AF16" s="38"/>
      <c r="AG16" s="39"/>
      <c r="AH16" s="38"/>
      <c r="AI16" s="38"/>
      <c r="AJ16" s="38"/>
      <c r="AK16" s="38"/>
      <c r="AL16" s="39"/>
      <c r="AM16" s="44"/>
      <c r="AN16" s="39"/>
      <c r="AO16" s="37"/>
      <c r="AP16" s="37"/>
    </row>
    <row r="17" spans="1:42">
      <c r="A17" s="19">
        <f t="shared" si="0"/>
        <v>5</v>
      </c>
      <c r="B17" s="32">
        <v>87</v>
      </c>
      <c r="C17" s="22">
        <v>13</v>
      </c>
      <c r="D17" s="22" t="s">
        <v>153</v>
      </c>
      <c r="E17" s="22"/>
      <c r="F17" s="22" t="s">
        <v>154</v>
      </c>
      <c r="G17" s="22" t="s">
        <v>122</v>
      </c>
      <c r="H17" s="22" t="s">
        <v>155</v>
      </c>
      <c r="I17" s="23" t="s">
        <v>133</v>
      </c>
      <c r="J17" s="27">
        <v>3</v>
      </c>
      <c r="K17" s="25">
        <v>3</v>
      </c>
      <c r="L17" s="28">
        <v>3</v>
      </c>
      <c r="M17" s="52">
        <v>0.9</v>
      </c>
      <c r="N17" s="52">
        <v>1.2</v>
      </c>
      <c r="O17" s="49">
        <v>1</v>
      </c>
      <c r="P17" s="49">
        <v>1.4</v>
      </c>
      <c r="Q17" s="49" t="s">
        <v>273</v>
      </c>
      <c r="R17" s="49" t="s">
        <v>61</v>
      </c>
      <c r="S17" s="25">
        <v>21.11</v>
      </c>
      <c r="T17" s="143">
        <f t="shared" si="1"/>
        <v>9</v>
      </c>
      <c r="U17" s="143">
        <f>IF((VLOOKUP(Q17,MogulsDD!$A$1:$D$1000,4,FALSE)*(M17+O17)/2)&gt;3.75,3.75,VLOOKUP(Q17,MogulsDD!$A$1:$D$1000,4,FALSE)*(M17+O17)/2)+IF((VLOOKUP(R17,MogulsDD!$A$1:$D$1000,4,FALSE)*(N17+P17)/2)&gt;3.75,3.75,VLOOKUP(R17,MogulsDD!$A$1:$D$1000,4,FALSE)*(N17+P17)/2)</f>
        <v>2.415</v>
      </c>
      <c r="V17" s="143">
        <f t="shared" si="2"/>
        <v>5.768227909222599</v>
      </c>
      <c r="W17" s="144">
        <f>(J17+K17+L17)+IF((VLOOKUP(Q17,MogulsDD!$A$1:$D$1000,4,FALSE)*(M17+O17)/2)&gt;3.75,3.75,VLOOKUP(Q17,MogulsDD!$A$1:$D$1000,4,FALSE)*(M17+O17)/2)+IF((VLOOKUP(R17,MogulsDD!$A$1:$D$1000,4,FALSE)*(N17+P17)/2)&gt;3.75,3.75,VLOOKUP(R17,MogulsDD!$A$1:$D$1000,4,FALSE)*(N17+P17)/2)+IF((18-12*S17/$K$5)&gt;7.5,7.5,IF((18-12*S17/$K$5)&lt;0,0,(18-12*S17/$K$5)))</f>
        <v>17.183227909222602</v>
      </c>
      <c r="X17" s="38"/>
      <c r="Y17" s="38"/>
      <c r="Z17" s="38"/>
      <c r="AA17" s="38"/>
      <c r="AB17" s="39"/>
      <c r="AC17" s="38"/>
      <c r="AD17" s="38"/>
      <c r="AE17" s="38"/>
      <c r="AF17" s="38"/>
      <c r="AG17" s="39"/>
      <c r="AH17" s="38"/>
      <c r="AI17" s="38"/>
      <c r="AJ17" s="38"/>
      <c r="AK17" s="38"/>
      <c r="AL17" s="39"/>
      <c r="AM17" s="44"/>
      <c r="AN17" s="39"/>
      <c r="AO17" s="37"/>
      <c r="AP17" s="37"/>
    </row>
    <row r="18" spans="1:42" ht="13.8" thickBot="1">
      <c r="A18" s="19">
        <f t="shared" si="0"/>
        <v>6</v>
      </c>
      <c r="B18" s="13">
        <v>62</v>
      </c>
      <c r="C18" s="22">
        <v>14</v>
      </c>
      <c r="D18" s="14" t="s">
        <v>231</v>
      </c>
      <c r="E18" s="14"/>
      <c r="F18" s="14"/>
      <c r="G18" s="14" t="s">
        <v>240</v>
      </c>
      <c r="H18" s="14" t="s">
        <v>246</v>
      </c>
      <c r="I18" s="18"/>
      <c r="J18" s="29">
        <v>2.9</v>
      </c>
      <c r="K18" s="25">
        <v>3.1</v>
      </c>
      <c r="L18" s="30">
        <v>3.3</v>
      </c>
      <c r="M18" s="53">
        <v>2</v>
      </c>
      <c r="N18" s="53">
        <v>1.4</v>
      </c>
      <c r="O18" s="50">
        <v>2</v>
      </c>
      <c r="P18" s="50">
        <v>1.1000000000000001</v>
      </c>
      <c r="Q18" s="49" t="s">
        <v>279</v>
      </c>
      <c r="R18" s="49" t="s">
        <v>276</v>
      </c>
      <c r="S18" s="25">
        <v>23.04</v>
      </c>
      <c r="T18" s="143">
        <f t="shared" si="1"/>
        <v>9.3000000000000007</v>
      </c>
      <c r="U18" s="143">
        <f>IF((VLOOKUP(Q18,MogulsDD!$A$1:$D$1000,4,FALSE)*(M18+O18)/2)&gt;3.75,3.75,VLOOKUP(Q18,MogulsDD!$A$1:$D$1000,4,FALSE)*(M18+O18)/2)+IF((VLOOKUP(R18,MogulsDD!$A$1:$D$1000,4,FALSE)*(N18+P18)/2)&gt;3.75,3.75,VLOOKUP(R18,MogulsDD!$A$1:$D$1000,4,FALSE)*(N18+P18)/2)</f>
        <v>3.02</v>
      </c>
      <c r="V18" s="143">
        <f t="shared" si="2"/>
        <v>4.6499275712216317</v>
      </c>
      <c r="W18" s="144">
        <f>(J18+K18+L18)+IF((VLOOKUP(Q18,MogulsDD!$A$1:$D$1000,4,FALSE)*(M18+O18)/2)&gt;3.75,3.75,VLOOKUP(Q18,MogulsDD!$A$1:$D$1000,4,FALSE)*(M18+O18)/2)+IF((VLOOKUP(R18,MogulsDD!$A$1:$D$1000,4,FALSE)*(N18+P18)/2)&gt;3.75,3.75,VLOOKUP(R18,MogulsDD!$A$1:$D$1000,4,FALSE)*(N18+P18)/2)+IF((18-12*S18/$K$5)&gt;7.5,7.5,IF((18-12*S18/$K$5)&lt;0,0,(18-12*S18/$K$5)))</f>
        <v>16.969927571221632</v>
      </c>
      <c r="X18" s="38"/>
      <c r="Y18" s="38"/>
      <c r="Z18" s="38"/>
      <c r="AA18" s="38"/>
      <c r="AB18" s="39"/>
      <c r="AC18" s="38"/>
      <c r="AD18" s="38"/>
      <c r="AE18" s="38"/>
      <c r="AF18" s="38"/>
      <c r="AG18" s="39"/>
      <c r="AH18" s="38"/>
      <c r="AI18" s="38"/>
      <c r="AJ18" s="38"/>
      <c r="AK18" s="38"/>
      <c r="AL18" s="39"/>
      <c r="AM18" s="44"/>
      <c r="AN18" s="39"/>
      <c r="AO18" s="37"/>
      <c r="AP18" s="37"/>
    </row>
    <row r="19" spans="1:42">
      <c r="A19" s="19">
        <f t="shared" si="0"/>
        <v>7</v>
      </c>
      <c r="B19" s="32">
        <v>86</v>
      </c>
      <c r="C19" s="22">
        <v>9</v>
      </c>
      <c r="D19" s="22" t="s">
        <v>233</v>
      </c>
      <c r="E19" s="22"/>
      <c r="F19" s="22"/>
      <c r="G19" s="22" t="s">
        <v>240</v>
      </c>
      <c r="H19" s="22" t="s">
        <v>248</v>
      </c>
      <c r="I19" s="23"/>
      <c r="J19" s="24">
        <v>3</v>
      </c>
      <c r="K19" s="25">
        <v>3.2</v>
      </c>
      <c r="L19" s="25">
        <v>3.4</v>
      </c>
      <c r="M19" s="51">
        <v>1.6</v>
      </c>
      <c r="N19" s="51">
        <v>1.4</v>
      </c>
      <c r="O19" s="49">
        <v>1.4</v>
      </c>
      <c r="P19" s="49">
        <v>1.5</v>
      </c>
      <c r="Q19" s="49" t="s">
        <v>276</v>
      </c>
      <c r="R19" s="49" t="s">
        <v>273</v>
      </c>
      <c r="S19" s="25">
        <v>23.91</v>
      </c>
      <c r="T19" s="143">
        <f t="shared" si="1"/>
        <v>9.6</v>
      </c>
      <c r="U19" s="143">
        <f>IF((VLOOKUP(Q19,MogulsDD!$A$1:$D$1000,4,FALSE)*(M19+O19)/2)&gt;3.75,3.75,VLOOKUP(Q19,MogulsDD!$A$1:$D$1000,4,FALSE)*(M19+O19)/2)+IF((VLOOKUP(R19,MogulsDD!$A$1:$D$1000,4,FALSE)*(N19+P19)/2)&gt;3.75,3.75,VLOOKUP(R19,MogulsDD!$A$1:$D$1000,4,FALSE)*(N19+P19)/2)</f>
        <v>3.1049999999999995</v>
      </c>
      <c r="V19" s="143">
        <f t="shared" si="2"/>
        <v>4.1458232737807812</v>
      </c>
      <c r="W19" s="144">
        <f>(J19+K19+L19)+IF((VLOOKUP(Q19,MogulsDD!$A$1:$D$1000,4,FALSE)*(M19+O19)/2)&gt;3.75,3.75,VLOOKUP(Q19,MogulsDD!$A$1:$D$1000,4,FALSE)*(M19+O19)/2)+IF((VLOOKUP(R19,MogulsDD!$A$1:$D$1000,4,FALSE)*(N19+P19)/2)&gt;3.75,3.75,VLOOKUP(R19,MogulsDD!$A$1:$D$1000,4,FALSE)*(N19+P19)/2)+IF((18-12*S19/$K$5)&gt;7.5,7.5,IF((18-12*S19/$K$5)&lt;0,0,(18-12*S19/$K$5)))</f>
        <v>16.850823273780779</v>
      </c>
      <c r="X19" s="38"/>
      <c r="Y19" s="38"/>
      <c r="Z19" s="38"/>
      <c r="AA19" s="38"/>
      <c r="AB19" s="39"/>
      <c r="AC19" s="38"/>
      <c r="AD19" s="38"/>
      <c r="AE19" s="38"/>
      <c r="AF19" s="38"/>
      <c r="AG19" s="39"/>
      <c r="AH19" s="38"/>
      <c r="AI19" s="38"/>
      <c r="AJ19" s="38"/>
      <c r="AK19" s="38"/>
      <c r="AL19" s="39"/>
      <c r="AM19" s="44"/>
      <c r="AN19" s="39"/>
      <c r="AO19" s="37"/>
      <c r="AP19" s="37"/>
    </row>
    <row r="20" spans="1:42">
      <c r="A20" s="19">
        <f t="shared" si="0"/>
        <v>8</v>
      </c>
      <c r="B20" s="32">
        <v>93</v>
      </c>
      <c r="C20" s="22">
        <v>5</v>
      </c>
      <c r="D20" s="22" t="s">
        <v>208</v>
      </c>
      <c r="E20" s="22">
        <v>2531506</v>
      </c>
      <c r="F20" s="22" t="s">
        <v>164</v>
      </c>
      <c r="G20" s="22" t="s">
        <v>209</v>
      </c>
      <c r="H20" s="22" t="s">
        <v>210</v>
      </c>
      <c r="I20" s="23" t="s">
        <v>211</v>
      </c>
      <c r="J20" s="27">
        <v>2.8</v>
      </c>
      <c r="K20" s="25">
        <v>2.8</v>
      </c>
      <c r="L20" s="28">
        <v>2.9</v>
      </c>
      <c r="M20" s="52">
        <v>1.9</v>
      </c>
      <c r="N20" s="52">
        <v>0.8</v>
      </c>
      <c r="O20" s="49">
        <v>1.6</v>
      </c>
      <c r="P20" s="49">
        <v>0.5</v>
      </c>
      <c r="Q20" s="49" t="s">
        <v>279</v>
      </c>
      <c r="R20" s="49" t="s">
        <v>312</v>
      </c>
      <c r="S20" s="25">
        <v>21.09</v>
      </c>
      <c r="T20" s="143">
        <f t="shared" si="1"/>
        <v>8.5</v>
      </c>
      <c r="U20" s="143">
        <f>IF((VLOOKUP(Q20,MogulsDD!$A$1:$D$1000,4,FALSE)*(M20+O20)/2)&gt;3.75,3.75,VLOOKUP(Q20,MogulsDD!$A$1:$D$1000,4,FALSE)*(M20+O20)/2)+IF((VLOOKUP(R20,MogulsDD!$A$1:$D$1000,4,FALSE)*(N20+P20)/2)&gt;3.75,3.75,VLOOKUP(R20,MogulsDD!$A$1:$D$1000,4,FALSE)*(N20+P20)/2)</f>
        <v>1.9605000000000001</v>
      </c>
      <c r="V20" s="143">
        <f t="shared" si="2"/>
        <v>5.7798165137614692</v>
      </c>
      <c r="W20" s="144">
        <f>(J20+K20+L20)+IF((VLOOKUP(Q20,MogulsDD!$A$1:$D$1000,4,FALSE)*(M20+O20)/2)&gt;3.75,3.75,VLOOKUP(Q20,MogulsDD!$A$1:$D$1000,4,FALSE)*(M20+O20)/2)+IF((VLOOKUP(R20,MogulsDD!$A$1:$D$1000,4,FALSE)*(N20+P20)/2)&gt;3.75,3.75,VLOOKUP(R20,MogulsDD!$A$1:$D$1000,4,FALSE)*(N20+P20)/2)+IF((18-12*S20/$K$5)&gt;7.5,7.5,IF((18-12*S20/$K$5)&lt;0,0,(18-12*S20/$K$5)))</f>
        <v>16.240316513761471</v>
      </c>
      <c r="X20" s="38"/>
      <c r="Y20" s="38"/>
      <c r="Z20" s="38"/>
      <c r="AA20" s="38"/>
      <c r="AB20" s="39"/>
      <c r="AC20" s="38"/>
      <c r="AD20" s="38"/>
      <c r="AE20" s="38"/>
      <c r="AF20" s="38"/>
      <c r="AG20" s="39"/>
      <c r="AH20" s="38"/>
      <c r="AI20" s="38"/>
      <c r="AJ20" s="38"/>
      <c r="AK20" s="38"/>
      <c r="AL20" s="39"/>
      <c r="AM20" s="44"/>
      <c r="AN20" s="39"/>
      <c r="AO20" s="37"/>
      <c r="AP20" s="37"/>
    </row>
    <row r="21" spans="1:42">
      <c r="A21" s="19">
        <f t="shared" si="0"/>
        <v>9</v>
      </c>
      <c r="B21" s="32">
        <v>99</v>
      </c>
      <c r="C21" s="22">
        <v>4</v>
      </c>
      <c r="D21" s="22" t="s">
        <v>184</v>
      </c>
      <c r="E21" s="22"/>
      <c r="F21" s="22" t="s">
        <v>185</v>
      </c>
      <c r="G21" s="22" t="s">
        <v>122</v>
      </c>
      <c r="H21" s="22" t="s">
        <v>186</v>
      </c>
      <c r="I21" s="23" t="s">
        <v>187</v>
      </c>
      <c r="J21" s="27">
        <v>3.2</v>
      </c>
      <c r="K21" s="25">
        <v>2.9</v>
      </c>
      <c r="L21" s="28">
        <v>2.7</v>
      </c>
      <c r="M21" s="52">
        <v>0.3</v>
      </c>
      <c r="N21" s="52">
        <v>0.6</v>
      </c>
      <c r="O21" s="49">
        <v>0.4</v>
      </c>
      <c r="P21" s="49">
        <v>0.7</v>
      </c>
      <c r="Q21" s="49" t="s">
        <v>273</v>
      </c>
      <c r="R21" s="49" t="s">
        <v>279</v>
      </c>
      <c r="S21" s="25">
        <v>20.38</v>
      </c>
      <c r="T21" s="143">
        <f t="shared" si="1"/>
        <v>8.8000000000000007</v>
      </c>
      <c r="U21" s="143">
        <f>IF((VLOOKUP(Q21,MogulsDD!$A$1:$D$1000,4,FALSE)*(M21+O21)/2)&gt;3.75,3.75,VLOOKUP(Q21,MogulsDD!$A$1:$D$1000,4,FALSE)*(M21+O21)/2)+IF((VLOOKUP(R21,MogulsDD!$A$1:$D$1000,4,FALSE)*(N21+P21)/2)&gt;3.75,3.75,VLOOKUP(R21,MogulsDD!$A$1:$D$1000,4,FALSE)*(N21+P21)/2)</f>
        <v>0.80899999999999994</v>
      </c>
      <c r="V21" s="143">
        <f t="shared" si="2"/>
        <v>6.1912119748913579</v>
      </c>
      <c r="W21" s="144">
        <f>(J21+K21+L21)+IF((VLOOKUP(Q21,MogulsDD!$A$1:$D$1000,4,FALSE)*(M21+O21)/2)&gt;3.75,3.75,VLOOKUP(Q21,MogulsDD!$A$1:$D$1000,4,FALSE)*(M21+O21)/2)+IF((VLOOKUP(R21,MogulsDD!$A$1:$D$1000,4,FALSE)*(N21+P21)/2)&gt;3.75,3.75,VLOOKUP(R21,MogulsDD!$A$1:$D$1000,4,FALSE)*(N21+P21)/2)+IF((18-12*S21/$K$5)&gt;7.5,7.5,IF((18-12*S21/$K$5)&lt;0,0,(18-12*S21/$K$5)))</f>
        <v>15.800211974891358</v>
      </c>
      <c r="X21" s="38"/>
      <c r="Y21" s="38"/>
      <c r="Z21" s="38"/>
      <c r="AA21" s="38"/>
      <c r="AB21" s="39"/>
      <c r="AC21" s="38"/>
      <c r="AD21" s="38"/>
      <c r="AE21" s="38"/>
      <c r="AF21" s="38"/>
      <c r="AG21" s="39"/>
      <c r="AH21" s="38"/>
      <c r="AI21" s="38"/>
      <c r="AJ21" s="38"/>
      <c r="AK21" s="38"/>
      <c r="AL21" s="39"/>
      <c r="AM21" s="44"/>
      <c r="AN21" s="39"/>
      <c r="AO21" s="37"/>
      <c r="AP21" s="37"/>
    </row>
    <row r="22" spans="1:42">
      <c r="A22" s="19">
        <f t="shared" si="0"/>
        <v>10</v>
      </c>
      <c r="B22" s="32">
        <v>124</v>
      </c>
      <c r="C22" s="22">
        <v>10</v>
      </c>
      <c r="D22" s="22" t="s">
        <v>241</v>
      </c>
      <c r="E22" s="22"/>
      <c r="F22" s="22">
        <v>22352</v>
      </c>
      <c r="G22" s="22" t="s">
        <v>122</v>
      </c>
      <c r="H22" s="22" t="s">
        <v>127</v>
      </c>
      <c r="I22" s="23" t="s">
        <v>128</v>
      </c>
      <c r="J22" s="27">
        <v>2.9</v>
      </c>
      <c r="K22" s="25">
        <v>2.6</v>
      </c>
      <c r="L22" s="28">
        <v>2.4</v>
      </c>
      <c r="M22" s="52">
        <v>1.2</v>
      </c>
      <c r="N22" s="52">
        <v>0</v>
      </c>
      <c r="O22" s="49">
        <v>1</v>
      </c>
      <c r="P22" s="49">
        <v>0</v>
      </c>
      <c r="Q22" s="49" t="s">
        <v>279</v>
      </c>
      <c r="R22" s="49" t="s">
        <v>279</v>
      </c>
      <c r="S22" s="25">
        <v>23.12</v>
      </c>
      <c r="T22" s="143">
        <f t="shared" si="1"/>
        <v>7.9</v>
      </c>
      <c r="U22" s="143">
        <f>IF((VLOOKUP(Q22,MogulsDD!$A$1:$D$1000,4,FALSE)*(M22+O22)/2)&gt;3.75,3.75,VLOOKUP(Q22,MogulsDD!$A$1:$D$1000,4,FALSE)*(M22+O22)/2)+IF((VLOOKUP(R22,MogulsDD!$A$1:$D$1000,4,FALSE)*(N22+P22)/2)&gt;3.75,3.75,VLOOKUP(R22,MogulsDD!$A$1:$D$1000,4,FALSE)*(N22+P22)/2)</f>
        <v>0.83600000000000008</v>
      </c>
      <c r="V22" s="143">
        <f t="shared" si="2"/>
        <v>4.6035731530661526</v>
      </c>
      <c r="W22" s="144">
        <f>(J22+K22+L22)+IF((VLOOKUP(Q22,MogulsDD!$A$1:$D$1000,4,FALSE)*(M22+O22)/2)&gt;3.75,3.75,VLOOKUP(Q22,MogulsDD!$A$1:$D$1000,4,FALSE)*(M22+O22)/2)+IF((VLOOKUP(R22,MogulsDD!$A$1:$D$1000,4,FALSE)*(N22+P22)/2)&gt;3.75,3.75,VLOOKUP(R22,MogulsDD!$A$1:$D$1000,4,FALSE)*(N22+P22)/2)+IF((18-12*S22/$K$5)&gt;7.5,7.5,IF((18-12*S22/$K$5)&lt;0,0,(18-12*S22/$K$5)))</f>
        <v>13.339573153066153</v>
      </c>
      <c r="X22" s="38"/>
      <c r="Y22" s="38"/>
      <c r="Z22" s="38"/>
      <c r="AA22" s="38"/>
      <c r="AB22" s="39"/>
      <c r="AC22" s="38"/>
      <c r="AD22" s="38"/>
      <c r="AE22" s="38"/>
      <c r="AF22" s="38"/>
      <c r="AG22" s="39"/>
      <c r="AH22" s="38"/>
      <c r="AI22" s="38"/>
      <c r="AJ22" s="38"/>
      <c r="AK22" s="38"/>
      <c r="AL22" s="39"/>
      <c r="AM22" s="44"/>
      <c r="AN22" s="39"/>
      <c r="AO22" s="37"/>
      <c r="AP22" s="37"/>
    </row>
    <row r="23" spans="1:42">
      <c r="A23" s="19">
        <f t="shared" si="0"/>
        <v>11</v>
      </c>
      <c r="B23" s="32">
        <v>23</v>
      </c>
      <c r="C23" s="22">
        <v>2</v>
      </c>
      <c r="D23" s="22" t="s">
        <v>232</v>
      </c>
      <c r="E23" s="22"/>
      <c r="F23" s="22"/>
      <c r="G23" s="22" t="s">
        <v>240</v>
      </c>
      <c r="H23" s="22" t="s">
        <v>247</v>
      </c>
      <c r="I23" s="23"/>
      <c r="J23" s="27">
        <v>2.4</v>
      </c>
      <c r="K23" s="25">
        <v>2.4</v>
      </c>
      <c r="L23" s="28">
        <v>2.4</v>
      </c>
      <c r="M23" s="52">
        <v>1.3</v>
      </c>
      <c r="N23" s="52">
        <v>0</v>
      </c>
      <c r="O23" s="49">
        <v>1.1000000000000001</v>
      </c>
      <c r="P23" s="49">
        <v>0</v>
      </c>
      <c r="Q23" s="54" t="s">
        <v>279</v>
      </c>
      <c r="R23" s="54" t="s">
        <v>280</v>
      </c>
      <c r="S23" s="25">
        <v>24.08</v>
      </c>
      <c r="T23" s="143">
        <f t="shared" si="1"/>
        <v>7.1999999999999993</v>
      </c>
      <c r="U23" s="143">
        <f>IF((VLOOKUP(Q23,MogulsDD!$A$1:$D$1000,4,FALSE)*(M23+O23)/2)&gt;3.75,3.75,VLOOKUP(Q23,MogulsDD!$A$1:$D$1000,4,FALSE)*(M23+O23)/2)+IF((VLOOKUP(R23,MogulsDD!$A$1:$D$1000,4,FALSE)*(N23+P23)/2)&gt;3.75,3.75,VLOOKUP(R23,MogulsDD!$A$1:$D$1000,4,FALSE)*(N23+P23)/2)</f>
        <v>0.91200000000000014</v>
      </c>
      <c r="V23" s="143">
        <f t="shared" si="2"/>
        <v>4.0473201352003887</v>
      </c>
      <c r="W23" s="144">
        <f>(J23+K23+L23)+IF((VLOOKUP(Q23,MogulsDD!$A$1:$D$1000,4,FALSE)*(M23+O23)/2)&gt;3.75,3.75,VLOOKUP(Q23,MogulsDD!$A$1:$D$1000,4,FALSE)*(M23+O23)/2)+IF((VLOOKUP(R23,MogulsDD!$A$1:$D$1000,4,FALSE)*(N23+P23)/2)&gt;3.75,3.75,VLOOKUP(R23,MogulsDD!$A$1:$D$1000,4,FALSE)*(N23+P23)/2)+IF((18-12*S23/$K$5)&gt;7.5,7.5,IF((18-12*S23/$K$5)&lt;0,0,(18-12*S23/$K$5)))</f>
        <v>12.159320135200389</v>
      </c>
      <c r="X23" s="38"/>
      <c r="Y23" s="38"/>
      <c r="Z23" s="38"/>
      <c r="AA23" s="38"/>
      <c r="AB23" s="39"/>
      <c r="AC23" s="38"/>
      <c r="AD23" s="38"/>
      <c r="AE23" s="38"/>
      <c r="AF23" s="38"/>
      <c r="AG23" s="39"/>
      <c r="AH23" s="38"/>
      <c r="AI23" s="38"/>
      <c r="AJ23" s="38"/>
      <c r="AK23" s="38"/>
      <c r="AL23" s="39"/>
      <c r="AM23" s="44"/>
      <c r="AN23" s="39"/>
      <c r="AO23" s="37"/>
      <c r="AP23" s="37"/>
    </row>
    <row r="24" spans="1:42">
      <c r="A24" s="19">
        <f t="shared" si="0"/>
        <v>12</v>
      </c>
      <c r="B24" s="32">
        <v>72</v>
      </c>
      <c r="C24" s="22">
        <v>11</v>
      </c>
      <c r="D24" s="22" t="s">
        <v>234</v>
      </c>
      <c r="E24" s="22"/>
      <c r="F24" s="22"/>
      <c r="G24" s="22" t="s">
        <v>240</v>
      </c>
      <c r="H24" s="22" t="s">
        <v>249</v>
      </c>
      <c r="I24" s="23"/>
      <c r="J24" s="27">
        <v>0.7</v>
      </c>
      <c r="K24" s="25">
        <v>0.8</v>
      </c>
      <c r="L24" s="28">
        <v>1</v>
      </c>
      <c r="M24" s="52">
        <v>0.5</v>
      </c>
      <c r="N24" s="52">
        <v>0</v>
      </c>
      <c r="O24" s="49">
        <v>0.4</v>
      </c>
      <c r="P24" s="49">
        <v>0</v>
      </c>
      <c r="Q24" s="49" t="s">
        <v>279</v>
      </c>
      <c r="R24" s="49" t="s">
        <v>63</v>
      </c>
      <c r="S24" s="25">
        <v>27.74</v>
      </c>
      <c r="T24" s="143">
        <f t="shared" si="1"/>
        <v>2.5</v>
      </c>
      <c r="U24" s="143">
        <f>IF((VLOOKUP(Q24,MogulsDD!$A$1:$D$1000,4,FALSE)*(M24+O24)/2)&gt;3.75,3.75,VLOOKUP(Q24,MogulsDD!$A$1:$D$1000,4,FALSE)*(M24+O24)/2)+IF((VLOOKUP(R24,MogulsDD!$A$1:$D$1000,4,FALSE)*(N24+P24)/2)&gt;3.75,3.75,VLOOKUP(R24,MogulsDD!$A$1:$D$1000,4,FALSE)*(N24+P24)/2)</f>
        <v>0.34200000000000003</v>
      </c>
      <c r="V24" s="143">
        <f t="shared" si="2"/>
        <v>1.9266055045871582</v>
      </c>
      <c r="W24" s="144">
        <f>(J24+K24+L24)+IF((VLOOKUP(Q24,MogulsDD!$A$1:$D$1000,4,FALSE)*(M24+O24)/2)&gt;3.75,3.75,VLOOKUP(Q24,MogulsDD!$A$1:$D$1000,4,FALSE)*(M24+O24)/2)+IF((VLOOKUP(R24,MogulsDD!$A$1:$D$1000,4,FALSE)*(N24+P24)/2)&gt;3.75,3.75,VLOOKUP(R24,MogulsDD!$A$1:$D$1000,4,FALSE)*(N24+P24)/2)+IF((18-12*S24/$K$5)&gt;7.5,7.5,IF((18-12*S24/$K$5)&lt;0,0,(18-12*S24/$K$5)))</f>
        <v>4.7686055045871587</v>
      </c>
      <c r="X24" s="38"/>
      <c r="Y24" s="38"/>
      <c r="Z24" s="38"/>
      <c r="AA24" s="38"/>
      <c r="AB24" s="39"/>
      <c r="AC24" s="38"/>
      <c r="AD24" s="38"/>
      <c r="AE24" s="38"/>
      <c r="AF24" s="38"/>
      <c r="AG24" s="39"/>
      <c r="AH24" s="38"/>
      <c r="AI24" s="38"/>
      <c r="AJ24" s="38"/>
      <c r="AK24" s="38"/>
      <c r="AL24" s="39"/>
      <c r="AM24" s="44"/>
      <c r="AN24" s="39"/>
      <c r="AO24" s="37"/>
      <c r="AP24" s="37"/>
    </row>
    <row r="25" spans="1:42">
      <c r="A25" s="19">
        <f t="shared" si="0"/>
        <v>13</v>
      </c>
      <c r="B25" s="32">
        <v>85</v>
      </c>
      <c r="C25" s="22">
        <v>7</v>
      </c>
      <c r="D25" s="22" t="s">
        <v>212</v>
      </c>
      <c r="E25" s="22">
        <v>2532171</v>
      </c>
      <c r="F25" s="22" t="s">
        <v>206</v>
      </c>
      <c r="G25" s="22" t="s">
        <v>207</v>
      </c>
      <c r="H25" s="22" t="s">
        <v>245</v>
      </c>
      <c r="I25" s="23" t="s">
        <v>213</v>
      </c>
      <c r="J25" s="27">
        <v>0</v>
      </c>
      <c r="K25" s="25">
        <v>0</v>
      </c>
      <c r="L25" s="28">
        <v>0</v>
      </c>
      <c r="M25" s="52">
        <v>0</v>
      </c>
      <c r="N25" s="52">
        <v>0</v>
      </c>
      <c r="O25" s="49">
        <v>0</v>
      </c>
      <c r="P25" s="49">
        <v>0</v>
      </c>
      <c r="Q25" s="49" t="s">
        <v>63</v>
      </c>
      <c r="R25" s="49" t="s">
        <v>63</v>
      </c>
      <c r="S25" s="25">
        <v>9999</v>
      </c>
      <c r="T25" s="143">
        <f t="shared" si="1"/>
        <v>0</v>
      </c>
      <c r="U25" s="143">
        <f>IF((VLOOKUP(Q25,MogulsDD!$A$1:$D$1000,4,FALSE)*(M25+O25)/2)&gt;3.75,3.75,VLOOKUP(Q25,MogulsDD!$A$1:$D$1000,4,FALSE)*(M25+O25)/2)+IF((VLOOKUP(R25,MogulsDD!$A$1:$D$1000,4,FALSE)*(N25+P25)/2)&gt;3.75,3.75,VLOOKUP(R25,MogulsDD!$A$1:$D$1000,4,FALSE)*(N25+P25)/2)</f>
        <v>0</v>
      </c>
      <c r="V25" s="143">
        <f t="shared" si="2"/>
        <v>0</v>
      </c>
      <c r="W25" s="144">
        <f>(J25+K25+L25)+IF((VLOOKUP(Q25,MogulsDD!$A$1:$D$1000,4,FALSE)*(M25+O25)/2)&gt;3.75,3.75,VLOOKUP(Q25,MogulsDD!$A$1:$D$1000,4,FALSE)*(M25+O25)/2)+IF((VLOOKUP(R25,MogulsDD!$A$1:$D$1000,4,FALSE)*(N25+P25)/2)&gt;3.75,3.75,VLOOKUP(R25,MogulsDD!$A$1:$D$1000,4,FALSE)*(N25+P25)/2)+IF((18-12*S25/$K$5)&gt;7.5,7.5,IF((18-12*S25/$K$5)&lt;0,0,(18-12*S25/$K$5)))</f>
        <v>0</v>
      </c>
      <c r="X25" s="38"/>
      <c r="Y25" s="38"/>
      <c r="Z25" s="38"/>
      <c r="AA25" s="38"/>
      <c r="AB25" s="39"/>
      <c r="AC25" s="38"/>
      <c r="AD25" s="38"/>
      <c r="AE25" s="38"/>
      <c r="AF25" s="38"/>
      <c r="AG25" s="39"/>
      <c r="AH25" s="38"/>
      <c r="AI25" s="38"/>
      <c r="AJ25" s="38"/>
      <c r="AK25" s="38"/>
      <c r="AL25" s="39"/>
      <c r="AM25" s="44"/>
      <c r="AN25" s="39"/>
      <c r="AO25" s="37"/>
      <c r="AP25" s="37"/>
    </row>
    <row r="26" spans="1:42">
      <c r="A26" s="19">
        <f t="shared" si="0"/>
        <v>13</v>
      </c>
      <c r="B26" s="32">
        <v>61</v>
      </c>
      <c r="C26" s="22">
        <v>12</v>
      </c>
      <c r="D26" s="22" t="s">
        <v>176</v>
      </c>
      <c r="E26" s="22">
        <v>2531087</v>
      </c>
      <c r="F26" s="22" t="s">
        <v>173</v>
      </c>
      <c r="G26" s="22" t="s">
        <v>239</v>
      </c>
      <c r="H26" s="22" t="s">
        <v>177</v>
      </c>
      <c r="I26" s="23" t="s">
        <v>178</v>
      </c>
      <c r="J26" s="27">
        <v>0</v>
      </c>
      <c r="K26" s="25">
        <v>0</v>
      </c>
      <c r="L26" s="28">
        <v>0</v>
      </c>
      <c r="M26" s="52">
        <v>0</v>
      </c>
      <c r="N26" s="52">
        <v>0</v>
      </c>
      <c r="O26" s="49">
        <v>0</v>
      </c>
      <c r="P26" s="49">
        <v>0</v>
      </c>
      <c r="Q26" s="49" t="s">
        <v>63</v>
      </c>
      <c r="R26" s="49" t="s">
        <v>63</v>
      </c>
      <c r="S26" s="25">
        <v>9999</v>
      </c>
      <c r="T26" s="143">
        <f t="shared" si="1"/>
        <v>0</v>
      </c>
      <c r="U26" s="143">
        <f>IF((VLOOKUP(Q26,MogulsDD!$A$1:$D$1000,4,FALSE)*(M26+O26)/2)&gt;3.75,3.75,VLOOKUP(Q26,MogulsDD!$A$1:$D$1000,4,FALSE)*(M26+O26)/2)+IF((VLOOKUP(R26,MogulsDD!$A$1:$D$1000,4,FALSE)*(N26+P26)/2)&gt;3.75,3.75,VLOOKUP(R26,MogulsDD!$A$1:$D$1000,4,FALSE)*(N26+P26)/2)</f>
        <v>0</v>
      </c>
      <c r="V26" s="143">
        <f t="shared" si="2"/>
        <v>0</v>
      </c>
      <c r="W26" s="144">
        <f>(J26+K26+L26)+IF((VLOOKUP(Q26,MogulsDD!$A$1:$D$1000,4,FALSE)*(M26+O26)/2)&gt;3.75,3.75,VLOOKUP(Q26,MogulsDD!$A$1:$D$1000,4,FALSE)*(M26+O26)/2)+IF((VLOOKUP(R26,MogulsDD!$A$1:$D$1000,4,FALSE)*(N26+P26)/2)&gt;3.75,3.75,VLOOKUP(R26,MogulsDD!$A$1:$D$1000,4,FALSE)*(N26+P26)/2)+IF((18-12*S26/$K$5)&gt;7.5,7.5,IF((18-12*S26/$K$5)&lt;0,0,(18-12*S26/$K$5)))</f>
        <v>0</v>
      </c>
      <c r="X26" s="38"/>
      <c r="Y26" s="38"/>
      <c r="Z26" s="38"/>
      <c r="AA26" s="38"/>
      <c r="AB26" s="39"/>
      <c r="AC26" s="38"/>
      <c r="AD26" s="38"/>
      <c r="AE26" s="38"/>
      <c r="AF26" s="38"/>
      <c r="AG26" s="39"/>
      <c r="AH26" s="38"/>
      <c r="AI26" s="38"/>
      <c r="AJ26" s="38"/>
      <c r="AK26" s="38"/>
      <c r="AL26" s="39"/>
      <c r="AM26" s="44"/>
      <c r="AN26" s="39"/>
      <c r="AO26" s="37"/>
      <c r="AP26" s="37"/>
    </row>
    <row r="27" spans="1:42" ht="13.8" thickBot="1">
      <c r="A27" s="7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47"/>
      <c r="X27" s="38"/>
      <c r="Y27" s="38"/>
      <c r="Z27" s="38"/>
      <c r="AA27" s="38"/>
      <c r="AB27" s="39"/>
      <c r="AC27" s="38"/>
      <c r="AD27" s="38"/>
      <c r="AE27" s="38"/>
      <c r="AF27" s="38"/>
      <c r="AG27" s="38"/>
      <c r="AH27" s="38"/>
      <c r="AI27" s="38"/>
      <c r="AJ27" s="38"/>
      <c r="AK27" s="38"/>
      <c r="AL27" s="39"/>
      <c r="AM27" s="38"/>
      <c r="AN27" s="39"/>
      <c r="AO27" s="37"/>
      <c r="AP27" s="37"/>
    </row>
    <row r="28" spans="1:42" ht="13.8" thickBot="1">
      <c r="A28" s="12"/>
      <c r="B28" s="11"/>
      <c r="C28" s="9"/>
      <c r="D28" s="9"/>
      <c r="E28" s="31" t="s">
        <v>309</v>
      </c>
      <c r="F28" s="9"/>
      <c r="G28" s="9"/>
      <c r="H28" s="9"/>
      <c r="I28" s="10"/>
      <c r="J28" s="21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48"/>
      <c r="X28" s="38"/>
      <c r="Y28" s="38"/>
      <c r="Z28" s="38"/>
      <c r="AA28" s="38"/>
      <c r="AB28" s="38"/>
      <c r="AC28" s="38"/>
      <c r="AD28" s="38"/>
      <c r="AE28" s="38"/>
      <c r="AF28" s="38"/>
      <c r="AG28" s="40"/>
      <c r="AH28" s="38"/>
      <c r="AI28" s="38"/>
      <c r="AJ28" s="38"/>
      <c r="AK28" s="38"/>
      <c r="AL28" s="40"/>
      <c r="AM28" s="38"/>
      <c r="AN28" s="39"/>
      <c r="AO28" s="37"/>
      <c r="AP28" s="37"/>
    </row>
    <row r="29" spans="1:42" ht="13.8" thickBot="1">
      <c r="A29" s="2" t="s">
        <v>0</v>
      </c>
      <c r="B29" s="3" t="s">
        <v>1</v>
      </c>
      <c r="C29" s="3" t="s">
        <v>252</v>
      </c>
      <c r="D29" s="3" t="s">
        <v>111</v>
      </c>
      <c r="E29" s="3" t="s">
        <v>238</v>
      </c>
      <c r="F29" s="3" t="s">
        <v>16</v>
      </c>
      <c r="G29" s="3" t="s">
        <v>3</v>
      </c>
      <c r="H29" s="3" t="s">
        <v>4</v>
      </c>
      <c r="I29" s="4" t="s">
        <v>5</v>
      </c>
      <c r="J29" s="2" t="s">
        <v>11</v>
      </c>
      <c r="K29" s="3" t="s">
        <v>12</v>
      </c>
      <c r="L29" s="3" t="s">
        <v>15</v>
      </c>
      <c r="M29" s="3" t="s">
        <v>66</v>
      </c>
      <c r="N29" s="3" t="s">
        <v>65</v>
      </c>
      <c r="O29" s="3" t="s">
        <v>67</v>
      </c>
      <c r="P29" s="3" t="s">
        <v>68</v>
      </c>
      <c r="Q29" s="3" t="s">
        <v>59</v>
      </c>
      <c r="R29" s="3" t="s">
        <v>60</v>
      </c>
      <c r="S29" s="3" t="s">
        <v>22</v>
      </c>
      <c r="T29" s="3" t="s">
        <v>314</v>
      </c>
      <c r="U29" s="3" t="s">
        <v>315</v>
      </c>
      <c r="V29" s="3" t="s">
        <v>316</v>
      </c>
      <c r="W29" s="46" t="s">
        <v>14</v>
      </c>
      <c r="X29" s="41"/>
      <c r="Y29" s="41"/>
      <c r="Z29" s="41"/>
      <c r="AA29" s="41"/>
      <c r="AB29" s="42"/>
      <c r="AC29" s="41"/>
      <c r="AD29" s="41"/>
      <c r="AE29" s="41"/>
      <c r="AF29" s="41"/>
      <c r="AG29" s="42"/>
      <c r="AH29" s="41"/>
      <c r="AI29" s="41"/>
      <c r="AJ29" s="41"/>
      <c r="AK29" s="41"/>
      <c r="AL29" s="42"/>
      <c r="AM29" s="43"/>
      <c r="AN29" s="39"/>
      <c r="AO29" s="37"/>
      <c r="AP29" s="37"/>
    </row>
    <row r="30" spans="1:42">
      <c r="A30" s="19">
        <f t="shared" ref="A30:A50" si="3">RANK(W30,$W$30:$W$50,0)</f>
        <v>1</v>
      </c>
      <c r="B30" s="32">
        <v>56</v>
      </c>
      <c r="C30" s="22">
        <v>17</v>
      </c>
      <c r="D30" s="22" t="s">
        <v>172</v>
      </c>
      <c r="E30" s="22">
        <v>2531748</v>
      </c>
      <c r="F30" s="22" t="s">
        <v>173</v>
      </c>
      <c r="G30" s="22" t="s">
        <v>239</v>
      </c>
      <c r="H30" s="22" t="s">
        <v>174</v>
      </c>
      <c r="I30" s="23" t="s">
        <v>175</v>
      </c>
      <c r="J30" s="24">
        <v>4.0999999999999996</v>
      </c>
      <c r="K30" s="25">
        <v>4.3</v>
      </c>
      <c r="L30" s="25">
        <v>4.5</v>
      </c>
      <c r="M30" s="51">
        <v>2.2000000000000002</v>
      </c>
      <c r="N30" s="51">
        <v>2.2000000000000002</v>
      </c>
      <c r="O30" s="49">
        <v>2.1</v>
      </c>
      <c r="P30" s="49">
        <v>2.2000000000000002</v>
      </c>
      <c r="Q30" s="49" t="s">
        <v>270</v>
      </c>
      <c r="R30" s="49" t="s">
        <v>272</v>
      </c>
      <c r="S30" s="25">
        <v>17.03</v>
      </c>
      <c r="T30" s="143">
        <f>(J30+K30+L30)</f>
        <v>12.899999999999999</v>
      </c>
      <c r="U30" s="143">
        <f>IF((VLOOKUP(Q30,MogulsDD!$A$1:$C$1000,3,FALSE)*(M30+O30)/2)&gt;3.75,3.75,VLOOKUP(Q30,MogulsDD!$A$1:$C$1000,3,FALSE)*(M30+O30)/2)+IF((VLOOKUP(R30,MogulsDD!$A$1:$C$1000,3,FALSE)*(N30+P30)/2)&gt;3.75,3.75,VLOOKUP(R30,MogulsDD!$A$1:$C$1000,3,FALSE)*(N30+P30)/2)</f>
        <v>4.6775000000000002</v>
      </c>
      <c r="V30" s="143">
        <f>IF((18-12*S30/$J$5)&gt;7.5,7.5,IF((18-12*S30/$J$5)&lt;0,0,(18-12*S30/$J$5)))</f>
        <v>6.3688104723961292</v>
      </c>
      <c r="W30" s="144">
        <f>(J30+K30+L30)+IF((VLOOKUP(Q30,MogulsDD!$A$1:$C$1000,3,FALSE)*(M30+O30)/2)&gt;3.75,3.75,VLOOKUP(Q30,MogulsDD!$A$1:$C$1000,3,FALSE)*(M30+O30)/2)+IF((VLOOKUP(R30,MogulsDD!$A$1:$C$1000,3,FALSE)*(N30+P30)/2)&gt;3.75,3.75,VLOOKUP(R30,MogulsDD!$A$1:$C$1000,3,FALSE)*(N30+P30)/2)+IF((18-12*S30/$J$5)&gt;7.5,7.5,IF((18-12*S30/$J$5)&lt;0,0,(18-12*S30/$J$5)))</f>
        <v>23.946310472396128</v>
      </c>
      <c r="X30" s="38"/>
      <c r="Y30" s="38"/>
      <c r="Z30" s="38"/>
      <c r="AA30" s="38"/>
      <c r="AB30" s="39"/>
      <c r="AC30" s="38"/>
      <c r="AD30" s="38"/>
      <c r="AE30" s="38"/>
      <c r="AF30" s="38"/>
      <c r="AG30" s="39"/>
      <c r="AH30" s="38"/>
      <c r="AI30" s="38"/>
      <c r="AJ30" s="38"/>
      <c r="AK30" s="38"/>
      <c r="AL30" s="39"/>
      <c r="AM30" s="44"/>
      <c r="AN30" s="39"/>
      <c r="AO30" s="37"/>
      <c r="AP30" s="37"/>
    </row>
    <row r="31" spans="1:42">
      <c r="A31" s="19">
        <f t="shared" si="3"/>
        <v>2</v>
      </c>
      <c r="B31" s="32">
        <v>97</v>
      </c>
      <c r="C31" s="22">
        <v>3</v>
      </c>
      <c r="D31" s="22" t="s">
        <v>159</v>
      </c>
      <c r="E31" s="22"/>
      <c r="F31" s="22" t="s">
        <v>160</v>
      </c>
      <c r="G31" s="22" t="s">
        <v>122</v>
      </c>
      <c r="H31" s="22" t="s">
        <v>161</v>
      </c>
      <c r="I31" s="23" t="s">
        <v>162</v>
      </c>
      <c r="J31" s="27">
        <v>4.3</v>
      </c>
      <c r="K31" s="25">
        <v>4.4000000000000004</v>
      </c>
      <c r="L31" s="28">
        <v>4.5</v>
      </c>
      <c r="M31" s="52">
        <v>2.2000000000000002</v>
      </c>
      <c r="N31" s="52">
        <v>2</v>
      </c>
      <c r="O31" s="49">
        <v>2.1</v>
      </c>
      <c r="P31" s="49">
        <v>1.7</v>
      </c>
      <c r="Q31" s="49" t="s">
        <v>284</v>
      </c>
      <c r="R31" s="49" t="s">
        <v>286</v>
      </c>
      <c r="S31" s="25">
        <v>17.97</v>
      </c>
      <c r="T31" s="143">
        <f t="shared" ref="T31:T50" si="4">(J31+K31+L31)</f>
        <v>13.2</v>
      </c>
      <c r="U31" s="143">
        <f>IF((VLOOKUP(Q31,MogulsDD!$A$1:$C$1000,3,FALSE)*(M31+O31)/2)&gt;3.75,3.75,VLOOKUP(Q31,MogulsDD!$A$1:$C$1000,3,FALSE)*(M31+O31)/2)+IF((VLOOKUP(R31,MogulsDD!$A$1:$C$1000,3,FALSE)*(N31+P31)/2)&gt;3.75,3.75,VLOOKUP(R31,MogulsDD!$A$1:$C$1000,3,FALSE)*(N31+P31)/2)</f>
        <v>4.2740000000000009</v>
      </c>
      <c r="V31" s="143">
        <f t="shared" ref="V31:V50" si="5">IF((18-12*S31/$J$5)&gt;7.5,7.5,IF((18-12*S31/$J$5)&lt;0,0,(18-12*S31/$J$5)))</f>
        <v>5.7268070574843488</v>
      </c>
      <c r="W31" s="144">
        <f>(J31+K31+L31)+IF((VLOOKUP(Q31,MogulsDD!$A$1:$C$1000,3,FALSE)*(M31+O31)/2)&gt;3.75,3.75,VLOOKUP(Q31,MogulsDD!$A$1:$C$1000,3,FALSE)*(M31+O31)/2)+IF((VLOOKUP(R31,MogulsDD!$A$1:$C$1000,3,FALSE)*(N31+P31)/2)&gt;3.75,3.75,VLOOKUP(R31,MogulsDD!$A$1:$C$1000,3,FALSE)*(N31+P31)/2)+IF((18-12*S31/$J$5)&gt;7.5,7.5,IF((18-12*S31/$J$5)&lt;0,0,(18-12*S31/$J$5)))</f>
        <v>23.200807057484347</v>
      </c>
      <c r="X31" s="38"/>
      <c r="Y31" s="38"/>
      <c r="Z31" s="38"/>
      <c r="AA31" s="38"/>
      <c r="AB31" s="39"/>
      <c r="AC31" s="38"/>
      <c r="AD31" s="38"/>
      <c r="AE31" s="38"/>
      <c r="AF31" s="38"/>
      <c r="AG31" s="39"/>
      <c r="AH31" s="38"/>
      <c r="AI31" s="38"/>
      <c r="AJ31" s="38"/>
      <c r="AK31" s="38"/>
      <c r="AL31" s="39"/>
      <c r="AM31" s="44"/>
      <c r="AN31" s="39"/>
      <c r="AO31" s="37"/>
      <c r="AP31" s="37"/>
    </row>
    <row r="32" spans="1:42">
      <c r="A32" s="19">
        <f t="shared" si="3"/>
        <v>3</v>
      </c>
      <c r="B32" s="32">
        <v>81</v>
      </c>
      <c r="C32" s="22">
        <v>10</v>
      </c>
      <c r="D32" s="22" t="s">
        <v>205</v>
      </c>
      <c r="E32" s="22">
        <v>2530651</v>
      </c>
      <c r="F32" s="22" t="s">
        <v>206</v>
      </c>
      <c r="G32" s="22" t="s">
        <v>207</v>
      </c>
      <c r="H32" s="22" t="s">
        <v>243</v>
      </c>
      <c r="I32" s="23" t="s">
        <v>126</v>
      </c>
      <c r="J32" s="27">
        <v>4.3</v>
      </c>
      <c r="K32" s="25">
        <v>4.2</v>
      </c>
      <c r="L32" s="28">
        <v>4.2</v>
      </c>
      <c r="M32" s="52">
        <v>1.9</v>
      </c>
      <c r="N32" s="52">
        <v>2.2999999999999998</v>
      </c>
      <c r="O32" s="49">
        <v>2</v>
      </c>
      <c r="P32" s="49">
        <v>2.2000000000000002</v>
      </c>
      <c r="Q32" s="49" t="s">
        <v>284</v>
      </c>
      <c r="R32" s="49" t="s">
        <v>285</v>
      </c>
      <c r="S32" s="25">
        <v>18.079999999999998</v>
      </c>
      <c r="T32" s="143">
        <f t="shared" si="4"/>
        <v>12.7</v>
      </c>
      <c r="U32" s="143">
        <f>IF((VLOOKUP(Q32,MogulsDD!$A$1:$C$1000,3,FALSE)*(M32+O32)/2)&gt;3.75,3.75,VLOOKUP(Q32,MogulsDD!$A$1:$C$1000,3,FALSE)*(M32+O32)/2)+IF((VLOOKUP(R32,MogulsDD!$A$1:$C$1000,3,FALSE)*(N32+P32)/2)&gt;3.75,3.75,VLOOKUP(R32,MogulsDD!$A$1:$C$1000,3,FALSE)*(N32+P32)/2)</f>
        <v>4.68</v>
      </c>
      <c r="V32" s="143">
        <f t="shared" si="5"/>
        <v>5.6516789982925459</v>
      </c>
      <c r="W32" s="144">
        <f>(J32+K32+L32)+IF((VLOOKUP(Q32,MogulsDD!$A$1:$C$1000,3,FALSE)*(M32+O32)/2)&gt;3.75,3.75,VLOOKUP(Q32,MogulsDD!$A$1:$C$1000,3,FALSE)*(M32+O32)/2)+IF((VLOOKUP(R32,MogulsDD!$A$1:$C$1000,3,FALSE)*(N32+P32)/2)&gt;3.75,3.75,VLOOKUP(R32,MogulsDD!$A$1:$C$1000,3,FALSE)*(N32+P32)/2)+IF((18-12*S32/$J$5)&gt;7.5,7.5,IF((18-12*S32/$J$5)&lt;0,0,(18-12*S32/$J$5)))</f>
        <v>23.031678998292545</v>
      </c>
      <c r="X32" s="38"/>
      <c r="Y32" s="38"/>
      <c r="Z32" s="38"/>
      <c r="AA32" s="38"/>
      <c r="AB32" s="39"/>
      <c r="AC32" s="38"/>
      <c r="AD32" s="38"/>
      <c r="AE32" s="38"/>
      <c r="AF32" s="38"/>
      <c r="AG32" s="39"/>
      <c r="AH32" s="38"/>
      <c r="AI32" s="38"/>
      <c r="AJ32" s="38"/>
      <c r="AK32" s="38"/>
      <c r="AL32" s="39"/>
      <c r="AM32" s="44"/>
      <c r="AN32" s="39"/>
      <c r="AO32" s="37"/>
      <c r="AP32" s="37"/>
    </row>
    <row r="33" spans="1:42">
      <c r="A33" s="19">
        <f t="shared" si="3"/>
        <v>4</v>
      </c>
      <c r="B33" s="32">
        <v>100</v>
      </c>
      <c r="C33" s="22">
        <v>1</v>
      </c>
      <c r="D33" s="22" t="s">
        <v>203</v>
      </c>
      <c r="E33" s="22"/>
      <c r="F33" s="22" t="s">
        <v>164</v>
      </c>
      <c r="G33" s="22" t="s">
        <v>209</v>
      </c>
      <c r="H33" s="22" t="s">
        <v>204</v>
      </c>
      <c r="I33" s="23" t="s">
        <v>115</v>
      </c>
      <c r="J33" s="27">
        <v>4.3</v>
      </c>
      <c r="K33" s="25">
        <v>4.3</v>
      </c>
      <c r="L33" s="28">
        <v>4.4000000000000004</v>
      </c>
      <c r="M33" s="52">
        <v>1.8</v>
      </c>
      <c r="N33" s="52">
        <v>1.8</v>
      </c>
      <c r="O33" s="49">
        <v>1.6</v>
      </c>
      <c r="P33" s="49">
        <v>1.9</v>
      </c>
      <c r="Q33" s="49" t="s">
        <v>284</v>
      </c>
      <c r="R33" s="49" t="s">
        <v>286</v>
      </c>
      <c r="S33" s="25">
        <v>18.23</v>
      </c>
      <c r="T33" s="143">
        <f t="shared" si="4"/>
        <v>13</v>
      </c>
      <c r="U33" s="143">
        <f>IF((VLOOKUP(Q33,MogulsDD!$A$1:$C$1000,3,FALSE)*(M33+O33)/2)&gt;3.75,3.75,VLOOKUP(Q33,MogulsDD!$A$1:$C$1000,3,FALSE)*(M33+O33)/2)+IF((VLOOKUP(R33,MogulsDD!$A$1:$C$1000,3,FALSE)*(N33+P33)/2)&gt;3.75,3.75,VLOOKUP(R33,MogulsDD!$A$1:$C$1000,3,FALSE)*(N33+P33)/2)</f>
        <v>3.8015000000000008</v>
      </c>
      <c r="V33" s="143">
        <f t="shared" si="5"/>
        <v>5.5492316448491756</v>
      </c>
      <c r="W33" s="144">
        <f>(J33+K33+L33)+IF((VLOOKUP(Q33,MogulsDD!$A$1:$C$1000,3,FALSE)*(M33+O33)/2)&gt;3.75,3.75,VLOOKUP(Q33,MogulsDD!$A$1:$C$1000,3,FALSE)*(M33+O33)/2)+IF((VLOOKUP(R33,MogulsDD!$A$1:$C$1000,3,FALSE)*(N33+P33)/2)&gt;3.75,3.75,VLOOKUP(R33,MogulsDD!$A$1:$C$1000,3,FALSE)*(N33+P33)/2)+IF((18-12*S33/$J$5)&gt;7.5,7.5,IF((18-12*S33/$J$5)&lt;0,0,(18-12*S33/$J$5)))</f>
        <v>22.350731644849176</v>
      </c>
      <c r="X33" s="38"/>
      <c r="Y33" s="38"/>
      <c r="Z33" s="38"/>
      <c r="AA33" s="38"/>
      <c r="AB33" s="39"/>
      <c r="AC33" s="38"/>
      <c r="AD33" s="38"/>
      <c r="AE33" s="38"/>
      <c r="AF33" s="38"/>
      <c r="AG33" s="39"/>
      <c r="AH33" s="38"/>
      <c r="AI33" s="38"/>
      <c r="AJ33" s="38"/>
      <c r="AK33" s="38"/>
      <c r="AL33" s="39"/>
      <c r="AM33" s="44"/>
      <c r="AN33" s="39"/>
      <c r="AO33" s="37"/>
      <c r="AP33" s="37"/>
    </row>
    <row r="34" spans="1:42">
      <c r="A34" s="19">
        <f t="shared" si="3"/>
        <v>5</v>
      </c>
      <c r="B34" s="32">
        <v>49</v>
      </c>
      <c r="C34" s="22">
        <v>7</v>
      </c>
      <c r="D34" s="22" t="s">
        <v>170</v>
      </c>
      <c r="E34" s="22">
        <v>2529840</v>
      </c>
      <c r="F34" s="22" t="s">
        <v>164</v>
      </c>
      <c r="G34" s="22" t="s">
        <v>209</v>
      </c>
      <c r="H34" s="22" t="s">
        <v>171</v>
      </c>
      <c r="I34" s="23" t="s">
        <v>103</v>
      </c>
      <c r="J34" s="27">
        <v>4.2</v>
      </c>
      <c r="K34" s="25">
        <v>4.3</v>
      </c>
      <c r="L34" s="28">
        <v>4.4000000000000004</v>
      </c>
      <c r="M34" s="52">
        <v>1.8</v>
      </c>
      <c r="N34" s="52">
        <v>1.9</v>
      </c>
      <c r="O34" s="49">
        <v>2.1</v>
      </c>
      <c r="P34" s="49">
        <v>2.1</v>
      </c>
      <c r="Q34" s="49" t="s">
        <v>284</v>
      </c>
      <c r="R34" s="49" t="s">
        <v>273</v>
      </c>
      <c r="S34" s="25">
        <v>17.87</v>
      </c>
      <c r="T34" s="143">
        <f t="shared" si="4"/>
        <v>12.9</v>
      </c>
      <c r="U34" s="143">
        <f>IF((VLOOKUP(Q34,MogulsDD!$A$1:$C$1000,3,FALSE)*(M34+O34)/2)&gt;3.75,3.75,VLOOKUP(Q34,MogulsDD!$A$1:$C$1000,3,FALSE)*(M34+O34)/2)+IF((VLOOKUP(R34,MogulsDD!$A$1:$C$1000,3,FALSE)*(N34+P34)/2)&gt;3.75,3.75,VLOOKUP(R34,MogulsDD!$A$1:$C$1000,3,FALSE)*(N34+P34)/2)</f>
        <v>3.5475000000000003</v>
      </c>
      <c r="V34" s="143">
        <f t="shared" si="5"/>
        <v>5.7951052931132612</v>
      </c>
      <c r="W34" s="144">
        <f>(J34+K34+L34)+IF((VLOOKUP(Q34,MogulsDD!$A$1:$C$1000,3,FALSE)*(M34+O34)/2)&gt;3.75,3.75,VLOOKUP(Q34,MogulsDD!$A$1:$C$1000,3,FALSE)*(M34+O34)/2)+IF((VLOOKUP(R34,MogulsDD!$A$1:$C$1000,3,FALSE)*(N34+P34)/2)&gt;3.75,3.75,VLOOKUP(R34,MogulsDD!$A$1:$C$1000,3,FALSE)*(N34+P34)/2)+IF((18-12*S34/$J$5)&gt;7.5,7.5,IF((18-12*S34/$J$5)&lt;0,0,(18-12*S34/$J$5)))</f>
        <v>22.242605293113265</v>
      </c>
      <c r="X34" s="38"/>
      <c r="Y34" s="38"/>
      <c r="Z34" s="38"/>
      <c r="AA34" s="38"/>
      <c r="AB34" s="39"/>
      <c r="AC34" s="38"/>
      <c r="AD34" s="38"/>
      <c r="AE34" s="38"/>
      <c r="AF34" s="38"/>
      <c r="AG34" s="39"/>
      <c r="AH34" s="38"/>
      <c r="AI34" s="38"/>
      <c r="AJ34" s="38"/>
      <c r="AK34" s="38"/>
      <c r="AL34" s="39"/>
      <c r="AM34" s="44"/>
      <c r="AN34" s="39"/>
      <c r="AO34" s="37"/>
      <c r="AP34" s="37"/>
    </row>
    <row r="35" spans="1:42">
      <c r="A35" s="19">
        <f t="shared" si="3"/>
        <v>6</v>
      </c>
      <c r="B35" s="32">
        <v>88</v>
      </c>
      <c r="C35" s="22">
        <v>4</v>
      </c>
      <c r="D35" s="22" t="s">
        <v>168</v>
      </c>
      <c r="E35" s="22"/>
      <c r="F35" s="22" t="s">
        <v>164</v>
      </c>
      <c r="G35" s="22" t="s">
        <v>209</v>
      </c>
      <c r="H35" s="22" t="s">
        <v>169</v>
      </c>
      <c r="I35" s="23" t="s">
        <v>103</v>
      </c>
      <c r="J35" s="27">
        <v>3.7</v>
      </c>
      <c r="K35" s="25">
        <v>3.7</v>
      </c>
      <c r="L35" s="28">
        <v>3.7</v>
      </c>
      <c r="M35" s="52">
        <v>2.2000000000000002</v>
      </c>
      <c r="N35" s="52">
        <v>1.8</v>
      </c>
      <c r="O35" s="49">
        <v>1.8</v>
      </c>
      <c r="P35" s="49">
        <v>1.7</v>
      </c>
      <c r="Q35" s="49" t="s">
        <v>284</v>
      </c>
      <c r="R35" s="49" t="s">
        <v>272</v>
      </c>
      <c r="S35" s="25">
        <v>16.66</v>
      </c>
      <c r="T35" s="143">
        <f t="shared" si="4"/>
        <v>11.100000000000001</v>
      </c>
      <c r="U35" s="143">
        <f>IF((VLOOKUP(Q35,MogulsDD!$A$1:$C$1000,3,FALSE)*(M35+O35)/2)&gt;3.75,3.75,VLOOKUP(Q35,MogulsDD!$A$1:$C$1000,3,FALSE)*(M35+O35)/2)+IF((VLOOKUP(R35,MogulsDD!$A$1:$C$1000,3,FALSE)*(N35+P35)/2)&gt;3.75,3.75,VLOOKUP(R35,MogulsDD!$A$1:$C$1000,3,FALSE)*(N35+P35)/2)</f>
        <v>4.0250000000000004</v>
      </c>
      <c r="V35" s="143">
        <f t="shared" si="5"/>
        <v>6.621513944223107</v>
      </c>
      <c r="W35" s="144">
        <f>(J35+K35+L35)+IF((VLOOKUP(Q35,MogulsDD!$A$1:$C$1000,3,FALSE)*(M35+O35)/2)&gt;3.75,3.75,VLOOKUP(Q35,MogulsDD!$A$1:$C$1000,3,FALSE)*(M35+O35)/2)+IF((VLOOKUP(R35,MogulsDD!$A$1:$C$1000,3,FALSE)*(N35+P35)/2)&gt;3.75,3.75,VLOOKUP(R35,MogulsDD!$A$1:$C$1000,3,FALSE)*(N35+P35)/2)+IF((18-12*S35/$J$5)&gt;7.5,7.5,IF((18-12*S35/$J$5)&lt;0,0,(18-12*S35/$J$5)))</f>
        <v>21.746513944223111</v>
      </c>
      <c r="X35" s="38"/>
      <c r="Y35" s="38"/>
      <c r="Z35" s="38"/>
      <c r="AA35" s="38"/>
      <c r="AB35" s="39"/>
      <c r="AC35" s="38"/>
      <c r="AD35" s="38"/>
      <c r="AE35" s="38"/>
      <c r="AF35" s="38"/>
      <c r="AG35" s="39"/>
      <c r="AH35" s="38"/>
      <c r="AI35" s="38"/>
      <c r="AJ35" s="38"/>
      <c r="AK35" s="38"/>
      <c r="AL35" s="39"/>
      <c r="AM35" s="44"/>
      <c r="AN35" s="39"/>
      <c r="AO35" s="37"/>
      <c r="AP35" s="37"/>
    </row>
    <row r="36" spans="1:42">
      <c r="A36" s="19">
        <f t="shared" si="3"/>
        <v>7</v>
      </c>
      <c r="B36" s="32">
        <v>115</v>
      </c>
      <c r="C36" s="22">
        <v>2</v>
      </c>
      <c r="D36" s="22" t="s">
        <v>118</v>
      </c>
      <c r="E36" s="22">
        <v>2528768</v>
      </c>
      <c r="F36" s="22" t="s">
        <v>119</v>
      </c>
      <c r="G36" s="22" t="s">
        <v>129</v>
      </c>
      <c r="H36" s="22" t="s">
        <v>120</v>
      </c>
      <c r="I36" s="23" t="s">
        <v>121</v>
      </c>
      <c r="J36" s="27">
        <v>4.2</v>
      </c>
      <c r="K36" s="25">
        <v>4.2</v>
      </c>
      <c r="L36" s="28">
        <v>4.2</v>
      </c>
      <c r="M36" s="52">
        <v>2.1</v>
      </c>
      <c r="N36" s="52">
        <v>0.8</v>
      </c>
      <c r="O36" s="49">
        <v>2.1</v>
      </c>
      <c r="P36" s="49">
        <v>1.1000000000000001</v>
      </c>
      <c r="Q36" s="49" t="s">
        <v>284</v>
      </c>
      <c r="R36" s="49" t="s">
        <v>285</v>
      </c>
      <c r="S36" s="25">
        <v>18.329999999999998</v>
      </c>
      <c r="T36" s="143">
        <f t="shared" si="4"/>
        <v>12.600000000000001</v>
      </c>
      <c r="U36" s="143">
        <f>IF((VLOOKUP(Q36,MogulsDD!$A$1:$C$1000,3,FALSE)*(M36+O36)/2)&gt;3.75,3.75,VLOOKUP(Q36,MogulsDD!$A$1:$C$1000,3,FALSE)*(M36+O36)/2)+IF((VLOOKUP(R36,MogulsDD!$A$1:$C$1000,3,FALSE)*(N36+P36)/2)&gt;3.75,3.75,VLOOKUP(R36,MogulsDD!$A$1:$C$1000,3,FALSE)*(N36+P36)/2)</f>
        <v>3.3165</v>
      </c>
      <c r="V36" s="143">
        <f t="shared" si="5"/>
        <v>5.4809334092202633</v>
      </c>
      <c r="W36" s="144">
        <f>(J36+K36+L36)+IF((VLOOKUP(Q36,MogulsDD!$A$1:$C$1000,3,FALSE)*(M36+O36)/2)&gt;3.75,3.75,VLOOKUP(Q36,MogulsDD!$A$1:$C$1000,3,FALSE)*(M36+O36)/2)+IF((VLOOKUP(R36,MogulsDD!$A$1:$C$1000,3,FALSE)*(N36+P36)/2)&gt;3.75,3.75,VLOOKUP(R36,MogulsDD!$A$1:$C$1000,3,FALSE)*(N36+P36)/2)+IF((18-12*S36/$J$5)&gt;7.5,7.5,IF((18-12*S36/$J$5)&lt;0,0,(18-12*S36/$J$5)))</f>
        <v>21.397433409220262</v>
      </c>
      <c r="X36" s="38"/>
      <c r="Y36" s="38"/>
      <c r="Z36" s="38"/>
      <c r="AA36" s="38"/>
      <c r="AB36" s="39"/>
      <c r="AC36" s="38"/>
      <c r="AD36" s="38"/>
      <c r="AE36" s="38"/>
      <c r="AF36" s="38"/>
      <c r="AG36" s="39"/>
      <c r="AH36" s="38"/>
      <c r="AI36" s="38"/>
      <c r="AJ36" s="38"/>
      <c r="AK36" s="38"/>
      <c r="AL36" s="39"/>
      <c r="AM36" s="44"/>
      <c r="AN36" s="39"/>
      <c r="AO36" s="37"/>
      <c r="AP36" s="37"/>
    </row>
    <row r="37" spans="1:42">
      <c r="A37" s="19">
        <f t="shared" si="3"/>
        <v>8</v>
      </c>
      <c r="B37" s="32">
        <v>18</v>
      </c>
      <c r="C37" s="22">
        <v>9</v>
      </c>
      <c r="D37" s="22" t="s">
        <v>123</v>
      </c>
      <c r="E37" s="22">
        <v>2531086</v>
      </c>
      <c r="F37" s="22" t="s">
        <v>124</v>
      </c>
      <c r="G37" s="22" t="s">
        <v>122</v>
      </c>
      <c r="H37" s="22" t="s">
        <v>125</v>
      </c>
      <c r="I37" s="23" t="s">
        <v>126</v>
      </c>
      <c r="J37" s="27">
        <v>3.9</v>
      </c>
      <c r="K37" s="25">
        <v>4</v>
      </c>
      <c r="L37" s="28">
        <v>4.0999999999999996</v>
      </c>
      <c r="M37" s="52">
        <v>1.5</v>
      </c>
      <c r="N37" s="52">
        <v>1.5</v>
      </c>
      <c r="O37" s="49">
        <v>1.6</v>
      </c>
      <c r="P37" s="49">
        <v>1.6</v>
      </c>
      <c r="Q37" s="49" t="s">
        <v>276</v>
      </c>
      <c r="R37" s="49" t="s">
        <v>286</v>
      </c>
      <c r="S37" s="25">
        <v>19.3</v>
      </c>
      <c r="T37" s="143">
        <f t="shared" si="4"/>
        <v>12</v>
      </c>
      <c r="U37" s="143">
        <f>IF((VLOOKUP(Q37,MogulsDD!$A$1:$C$1000,3,FALSE)*(M37+O37)/2)&gt;3.75,3.75,VLOOKUP(Q37,MogulsDD!$A$1:$C$1000,3,FALSE)*(M37+O37)/2)+IF((VLOOKUP(R37,MogulsDD!$A$1:$C$1000,3,FALSE)*(N37+P37)/2)&gt;3.75,3.75,VLOOKUP(R37,MogulsDD!$A$1:$C$1000,3,FALSE)*(N37+P37)/2)</f>
        <v>3.3170000000000002</v>
      </c>
      <c r="V37" s="143">
        <f t="shared" si="5"/>
        <v>4.818440523619806</v>
      </c>
      <c r="W37" s="144">
        <f>(J37+K37+L37)+IF((VLOOKUP(Q37,MogulsDD!$A$1:$C$1000,3,FALSE)*(M37+O37)/2)&gt;3.75,3.75,VLOOKUP(Q37,MogulsDD!$A$1:$C$1000,3,FALSE)*(M37+O37)/2)+IF((VLOOKUP(R37,MogulsDD!$A$1:$C$1000,3,FALSE)*(N37+P37)/2)&gt;3.75,3.75,VLOOKUP(R37,MogulsDD!$A$1:$C$1000,3,FALSE)*(N37+P37)/2)+IF((18-12*S37/$J$5)&gt;7.5,7.5,IF((18-12*S37/$J$5)&lt;0,0,(18-12*S37/$J$5)))</f>
        <v>20.135440523619806</v>
      </c>
      <c r="X37" s="38"/>
      <c r="Y37" s="38"/>
      <c r="Z37" s="38"/>
      <c r="AA37" s="38"/>
      <c r="AB37" s="39"/>
      <c r="AC37" s="38"/>
      <c r="AD37" s="38"/>
      <c r="AE37" s="38"/>
      <c r="AF37" s="38"/>
      <c r="AG37" s="39"/>
      <c r="AH37" s="38"/>
      <c r="AI37" s="38"/>
      <c r="AJ37" s="38"/>
      <c r="AK37" s="38"/>
      <c r="AL37" s="39"/>
      <c r="AM37" s="44"/>
      <c r="AN37" s="39"/>
      <c r="AO37" s="37"/>
      <c r="AP37" s="37"/>
    </row>
    <row r="38" spans="1:42">
      <c r="A38" s="19">
        <f t="shared" si="3"/>
        <v>9</v>
      </c>
      <c r="B38" s="32">
        <v>44</v>
      </c>
      <c r="C38" s="22">
        <v>19</v>
      </c>
      <c r="D38" s="22" t="s">
        <v>110</v>
      </c>
      <c r="E38" s="22">
        <v>2531950</v>
      </c>
      <c r="F38" s="22" t="s">
        <v>106</v>
      </c>
      <c r="G38" s="22" t="s">
        <v>122</v>
      </c>
      <c r="H38" s="22" t="s">
        <v>102</v>
      </c>
      <c r="I38" s="23" t="s">
        <v>103</v>
      </c>
      <c r="J38" s="27">
        <v>3.4</v>
      </c>
      <c r="K38" s="25">
        <v>3.2</v>
      </c>
      <c r="L38" s="28">
        <v>3</v>
      </c>
      <c r="M38" s="52">
        <v>1.3</v>
      </c>
      <c r="N38" s="52">
        <v>1.8</v>
      </c>
      <c r="O38" s="49">
        <v>1.1000000000000001</v>
      </c>
      <c r="P38" s="49">
        <v>2</v>
      </c>
      <c r="Q38" s="49" t="s">
        <v>61</v>
      </c>
      <c r="R38" s="49" t="s">
        <v>272</v>
      </c>
      <c r="S38" s="25">
        <v>18.86</v>
      </c>
      <c r="T38" s="143">
        <f t="shared" si="4"/>
        <v>9.6</v>
      </c>
      <c r="U38" s="143">
        <f>IF((VLOOKUP(Q38,MogulsDD!$A$1:$C$1000,3,FALSE)*(M38+O38)/2)&gt;3.75,3.75,VLOOKUP(Q38,MogulsDD!$A$1:$C$1000,3,FALSE)*(M38+O38)/2)+IF((VLOOKUP(R38,MogulsDD!$A$1:$C$1000,3,FALSE)*(N38+P38)/2)&gt;3.75,3.75,VLOOKUP(R38,MogulsDD!$A$1:$C$1000,3,FALSE)*(N38+P38)/2)</f>
        <v>3.35</v>
      </c>
      <c r="V38" s="143">
        <f t="shared" si="5"/>
        <v>5.1189527603870246</v>
      </c>
      <c r="W38" s="144">
        <f>(J38+K38+L38)+IF((VLOOKUP(Q38,MogulsDD!$A$1:$C$1000,3,FALSE)*(M38+O38)/2)&gt;3.75,3.75,VLOOKUP(Q38,MogulsDD!$A$1:$C$1000,3,FALSE)*(M38+O38)/2)+IF((VLOOKUP(R38,MogulsDD!$A$1:$C$1000,3,FALSE)*(N38+P38)/2)&gt;3.75,3.75,VLOOKUP(R38,MogulsDD!$A$1:$C$1000,3,FALSE)*(N38+P38)/2)+IF((18-12*S38/$J$5)&gt;7.5,7.5,IF((18-12*S38/$J$5)&lt;0,0,(18-12*S38/$J$5)))</f>
        <v>18.068952760387024</v>
      </c>
      <c r="X38" s="38"/>
      <c r="Y38" s="38"/>
      <c r="Z38" s="38"/>
      <c r="AA38" s="38"/>
      <c r="AB38" s="39"/>
      <c r="AC38" s="38"/>
      <c r="AD38" s="38"/>
      <c r="AE38" s="38"/>
      <c r="AF38" s="38"/>
      <c r="AG38" s="39"/>
      <c r="AH38" s="38"/>
      <c r="AI38" s="38"/>
      <c r="AJ38" s="38"/>
      <c r="AK38" s="38"/>
      <c r="AL38" s="39"/>
      <c r="AM38" s="44"/>
      <c r="AN38" s="39"/>
      <c r="AO38" s="37"/>
      <c r="AP38" s="37"/>
    </row>
    <row r="39" spans="1:42">
      <c r="A39" s="19">
        <f t="shared" si="3"/>
        <v>10</v>
      </c>
      <c r="B39" s="32">
        <v>3</v>
      </c>
      <c r="C39" s="22">
        <v>8</v>
      </c>
      <c r="D39" s="22" t="s">
        <v>156</v>
      </c>
      <c r="E39" s="22">
        <v>2532116</v>
      </c>
      <c r="F39" s="22" t="s">
        <v>157</v>
      </c>
      <c r="G39" s="22" t="s">
        <v>122</v>
      </c>
      <c r="H39" s="22" t="s">
        <v>158</v>
      </c>
      <c r="I39" s="23" t="s">
        <v>128</v>
      </c>
      <c r="J39" s="27">
        <v>3.7</v>
      </c>
      <c r="K39" s="25">
        <v>3.4</v>
      </c>
      <c r="L39" s="28">
        <v>3.2</v>
      </c>
      <c r="M39" s="52">
        <v>1.1000000000000001</v>
      </c>
      <c r="N39" s="52">
        <v>0.7</v>
      </c>
      <c r="O39" s="49">
        <v>1.2</v>
      </c>
      <c r="P39" s="49">
        <v>0.8</v>
      </c>
      <c r="Q39" s="49" t="s">
        <v>274</v>
      </c>
      <c r="R39" s="49" t="s">
        <v>273</v>
      </c>
      <c r="S39" s="25">
        <v>19.41</v>
      </c>
      <c r="T39" s="143">
        <f t="shared" si="4"/>
        <v>10.3</v>
      </c>
      <c r="U39" s="143">
        <f>IF((VLOOKUP(Q39,MogulsDD!$A$1:$C$1000,3,FALSE)*(M39+O39)/2)&gt;3.75,3.75,VLOOKUP(Q39,MogulsDD!$A$1:$C$1000,3,FALSE)*(M39+O39)/2)+IF((VLOOKUP(R39,MogulsDD!$A$1:$C$1000,3,FALSE)*(N39+P39)/2)&gt;3.75,3.75,VLOOKUP(R39,MogulsDD!$A$1:$C$1000,3,FALSE)*(N39+P39)/2)</f>
        <v>1.2755000000000001</v>
      </c>
      <c r="V39" s="143">
        <f t="shared" si="5"/>
        <v>4.7433124644280014</v>
      </c>
      <c r="W39" s="144">
        <f>(J39+K39+L39)+IF((VLOOKUP(Q39,MogulsDD!$A$1:$C$1000,3,FALSE)*(M39+O39)/2)&gt;3.75,3.75,VLOOKUP(Q39,MogulsDD!$A$1:$C$1000,3,FALSE)*(M39+O39)/2)+IF((VLOOKUP(R39,MogulsDD!$A$1:$C$1000,3,FALSE)*(N39+P39)/2)&gt;3.75,3.75,VLOOKUP(R39,MogulsDD!$A$1:$C$1000,3,FALSE)*(N39+P39)/2)+IF((18-12*S39/$J$5)&gt;7.5,7.5,IF((18-12*S39/$J$5)&lt;0,0,(18-12*S39/$J$5)))</f>
        <v>16.318812464427999</v>
      </c>
      <c r="X39" s="38"/>
      <c r="Y39" s="38"/>
      <c r="Z39" s="38"/>
      <c r="AA39" s="38"/>
      <c r="AB39" s="39"/>
      <c r="AC39" s="38"/>
      <c r="AD39" s="38"/>
      <c r="AE39" s="38"/>
      <c r="AF39" s="38"/>
      <c r="AG39" s="39"/>
      <c r="AH39" s="38"/>
      <c r="AI39" s="38"/>
      <c r="AJ39" s="38"/>
      <c r="AK39" s="38"/>
      <c r="AL39" s="39"/>
      <c r="AM39" s="44"/>
      <c r="AN39" s="39"/>
      <c r="AO39" s="37"/>
      <c r="AP39" s="37"/>
    </row>
    <row r="40" spans="1:42">
      <c r="A40" s="19">
        <f t="shared" si="3"/>
        <v>11</v>
      </c>
      <c r="B40" s="32">
        <v>109</v>
      </c>
      <c r="C40" s="22">
        <v>12</v>
      </c>
      <c r="D40" s="22" t="s">
        <v>199</v>
      </c>
      <c r="E40" s="22">
        <v>2528447</v>
      </c>
      <c r="F40" s="22" t="s">
        <v>200</v>
      </c>
      <c r="G40" s="22" t="s">
        <v>122</v>
      </c>
      <c r="H40" s="22" t="s">
        <v>201</v>
      </c>
      <c r="I40" s="23" t="s">
        <v>202</v>
      </c>
      <c r="J40" s="27">
        <v>2.6</v>
      </c>
      <c r="K40" s="25">
        <v>2.7</v>
      </c>
      <c r="L40" s="28">
        <v>2.8</v>
      </c>
      <c r="M40" s="52">
        <v>1.4</v>
      </c>
      <c r="N40" s="52">
        <v>1.2</v>
      </c>
      <c r="O40" s="49">
        <v>1.2</v>
      </c>
      <c r="P40" s="49">
        <v>1.1000000000000001</v>
      </c>
      <c r="Q40" s="49" t="s">
        <v>276</v>
      </c>
      <c r="R40" s="49" t="s">
        <v>26</v>
      </c>
      <c r="S40" s="25">
        <v>18.98</v>
      </c>
      <c r="T40" s="143">
        <f t="shared" si="4"/>
        <v>8.1000000000000014</v>
      </c>
      <c r="U40" s="143">
        <f>IF((VLOOKUP(Q40,MogulsDD!$A$1:$C$1000,3,FALSE)*(M40+O40)/2)&gt;3.75,3.75,VLOOKUP(Q40,MogulsDD!$A$1:$C$1000,3,FALSE)*(M40+O40)/2)+IF((VLOOKUP(R40,MogulsDD!$A$1:$C$1000,3,FALSE)*(N40+P40)/2)&gt;3.75,3.75,VLOOKUP(R40,MogulsDD!$A$1:$C$1000,3,FALSE)*(N40+P40)/2)</f>
        <v>2.6644999999999994</v>
      </c>
      <c r="V40" s="143">
        <f t="shared" si="5"/>
        <v>5.0369948776323277</v>
      </c>
      <c r="W40" s="144">
        <f>(J40+K40+L40)+IF((VLOOKUP(Q40,MogulsDD!$A$1:$C$1000,3,FALSE)*(M40+O40)/2)&gt;3.75,3.75,VLOOKUP(Q40,MogulsDD!$A$1:$C$1000,3,FALSE)*(M40+O40)/2)+IF((VLOOKUP(R40,MogulsDD!$A$1:$C$1000,3,FALSE)*(N40+P40)/2)&gt;3.75,3.75,VLOOKUP(R40,MogulsDD!$A$1:$C$1000,3,FALSE)*(N40+P40)/2)+IF((18-12*S40/$J$5)&gt;7.5,7.5,IF((18-12*S40/$J$5)&lt;0,0,(18-12*S40/$J$5)))</f>
        <v>15.801494877632329</v>
      </c>
      <c r="X40" s="38"/>
      <c r="Y40" s="38"/>
      <c r="Z40" s="38"/>
      <c r="AA40" s="38"/>
      <c r="AB40" s="39"/>
      <c r="AC40" s="38"/>
      <c r="AD40" s="38"/>
      <c r="AE40" s="38"/>
      <c r="AF40" s="38"/>
      <c r="AG40" s="39"/>
      <c r="AH40" s="38"/>
      <c r="AI40" s="38"/>
      <c r="AJ40" s="38"/>
      <c r="AK40" s="38"/>
      <c r="AL40" s="39"/>
      <c r="AM40" s="44"/>
      <c r="AN40" s="39"/>
      <c r="AO40" s="37"/>
      <c r="AP40" s="37"/>
    </row>
    <row r="41" spans="1:42" ht="13.8" thickBot="1">
      <c r="A41" s="19">
        <f t="shared" si="3"/>
        <v>12</v>
      </c>
      <c r="B41" s="13">
        <v>104</v>
      </c>
      <c r="C41" s="22">
        <v>11</v>
      </c>
      <c r="D41" s="14" t="s">
        <v>112</v>
      </c>
      <c r="E41" s="14">
        <v>2530279</v>
      </c>
      <c r="F41" s="14" t="s">
        <v>113</v>
      </c>
      <c r="G41" s="14" t="s">
        <v>122</v>
      </c>
      <c r="H41" s="14" t="s">
        <v>114</v>
      </c>
      <c r="I41" s="18" t="s">
        <v>115</v>
      </c>
      <c r="J41" s="29">
        <v>2.7</v>
      </c>
      <c r="K41" s="25">
        <v>2.8</v>
      </c>
      <c r="L41" s="30">
        <v>3</v>
      </c>
      <c r="M41" s="53">
        <v>1.1000000000000001</v>
      </c>
      <c r="N41" s="53">
        <v>1.4</v>
      </c>
      <c r="O41" s="50">
        <v>1.1000000000000001</v>
      </c>
      <c r="P41" s="50">
        <v>1.5</v>
      </c>
      <c r="Q41" s="49" t="s">
        <v>61</v>
      </c>
      <c r="R41" s="49" t="s">
        <v>286</v>
      </c>
      <c r="S41" s="25">
        <v>21.34</v>
      </c>
      <c r="T41" s="143">
        <f t="shared" si="4"/>
        <v>8.5</v>
      </c>
      <c r="U41" s="143">
        <f>IF((VLOOKUP(Q41,MogulsDD!$A$1:$C$1000,3,FALSE)*(M41+O41)/2)&gt;3.75,3.75,VLOOKUP(Q41,MogulsDD!$A$1:$C$1000,3,FALSE)*(M41+O41)/2)+IF((VLOOKUP(R41,MogulsDD!$A$1:$C$1000,3,FALSE)*(N41+P41)/2)&gt;3.75,3.75,VLOOKUP(R41,MogulsDD!$A$1:$C$1000,3,FALSE)*(N41+P41)/2)</f>
        <v>2.7355</v>
      </c>
      <c r="V41" s="143">
        <f t="shared" si="5"/>
        <v>3.4251565167899845</v>
      </c>
      <c r="W41" s="144">
        <f>(J41+K41+L41)+IF((VLOOKUP(Q41,MogulsDD!$A$1:$C$1000,3,FALSE)*(M41+O41)/2)&gt;3.75,3.75,VLOOKUP(Q41,MogulsDD!$A$1:$C$1000,3,FALSE)*(M41+O41)/2)+IF((VLOOKUP(R41,MogulsDD!$A$1:$C$1000,3,FALSE)*(N41+P41)/2)&gt;3.75,3.75,VLOOKUP(R41,MogulsDD!$A$1:$C$1000,3,FALSE)*(N41+P41)/2)+IF((18-12*S41/$J$5)&gt;7.5,7.5,IF((18-12*S41/$J$5)&lt;0,0,(18-12*S41/$J$5)))</f>
        <v>14.660656516789986</v>
      </c>
      <c r="X41" s="38"/>
      <c r="Y41" s="38"/>
      <c r="Z41" s="38"/>
      <c r="AA41" s="38"/>
      <c r="AB41" s="39"/>
      <c r="AC41" s="38"/>
      <c r="AD41" s="38"/>
      <c r="AE41" s="38"/>
      <c r="AF41" s="38"/>
      <c r="AG41" s="39"/>
      <c r="AH41" s="38"/>
      <c r="AI41" s="38"/>
      <c r="AJ41" s="38"/>
      <c r="AK41" s="38"/>
      <c r="AL41" s="39"/>
      <c r="AM41" s="44"/>
      <c r="AN41" s="39"/>
      <c r="AO41" s="37"/>
      <c r="AP41" s="37"/>
    </row>
    <row r="42" spans="1:42">
      <c r="A42" s="19">
        <f t="shared" si="3"/>
        <v>13</v>
      </c>
      <c r="B42" s="15">
        <v>25</v>
      </c>
      <c r="C42" s="22">
        <v>20</v>
      </c>
      <c r="D42" s="16" t="s">
        <v>130</v>
      </c>
      <c r="E42" s="16"/>
      <c r="F42" s="16" t="s">
        <v>131</v>
      </c>
      <c r="G42" s="16" t="s">
        <v>122</v>
      </c>
      <c r="H42" s="16" t="s">
        <v>132</v>
      </c>
      <c r="I42" s="17" t="s">
        <v>133</v>
      </c>
      <c r="J42" s="107">
        <v>2.9</v>
      </c>
      <c r="K42" s="25">
        <v>2.7</v>
      </c>
      <c r="L42" s="25">
        <v>2.6</v>
      </c>
      <c r="M42" s="51">
        <v>1.5</v>
      </c>
      <c r="N42" s="51">
        <v>1.6</v>
      </c>
      <c r="O42" s="49">
        <v>1.4</v>
      </c>
      <c r="P42" s="49">
        <v>1.3</v>
      </c>
      <c r="Q42" s="49" t="s">
        <v>276</v>
      </c>
      <c r="R42" s="49" t="s">
        <v>274</v>
      </c>
      <c r="S42" s="25">
        <v>20.66</v>
      </c>
      <c r="T42" s="143">
        <f t="shared" si="4"/>
        <v>8.1999999999999993</v>
      </c>
      <c r="U42" s="143">
        <f>IF((VLOOKUP(Q42,MogulsDD!$A$1:$C$1000,3,FALSE)*(M42+O42)/2)&gt;3.75,3.75,VLOOKUP(Q42,MogulsDD!$A$1:$C$1000,3,FALSE)*(M42+O42)/2)+IF((VLOOKUP(R42,MogulsDD!$A$1:$C$1000,3,FALSE)*(N42+P42)/2)&gt;3.75,3.75,VLOOKUP(R42,MogulsDD!$A$1:$C$1000,3,FALSE)*(N42+P42)/2)</f>
        <v>2.4215</v>
      </c>
      <c r="V42" s="143">
        <f t="shared" si="5"/>
        <v>3.8895845190665899</v>
      </c>
      <c r="W42" s="144">
        <f>(J42+K42+L42)+IF((VLOOKUP(Q42,MogulsDD!$A$1:$C$1000,3,FALSE)*(M42+O42)/2)&gt;3.75,3.75,VLOOKUP(Q42,MogulsDD!$A$1:$C$1000,3,FALSE)*(M42+O42)/2)+IF((VLOOKUP(R42,MogulsDD!$A$1:$C$1000,3,FALSE)*(N42+P42)/2)&gt;3.75,3.75,VLOOKUP(R42,MogulsDD!$A$1:$C$1000,3,FALSE)*(N42+P42)/2)+IF((18-12*S42/$J$5)&gt;7.5,7.5,IF((18-12*S42/$J$5)&lt;0,0,(18-12*S42/$J$5)))</f>
        <v>14.511084519066591</v>
      </c>
      <c r="X42" s="38"/>
      <c r="Y42" s="38"/>
      <c r="Z42" s="38"/>
      <c r="AA42" s="38"/>
      <c r="AB42" s="39"/>
      <c r="AC42" s="38"/>
      <c r="AD42" s="38"/>
      <c r="AE42" s="38"/>
      <c r="AF42" s="38"/>
      <c r="AG42" s="39"/>
      <c r="AH42" s="38"/>
      <c r="AI42" s="38"/>
      <c r="AJ42" s="38"/>
      <c r="AK42" s="38"/>
      <c r="AL42" s="39"/>
      <c r="AM42" s="44"/>
      <c r="AN42" s="39"/>
      <c r="AO42" s="37"/>
      <c r="AP42" s="37"/>
    </row>
    <row r="43" spans="1:42">
      <c r="A43" s="19">
        <f t="shared" si="3"/>
        <v>14</v>
      </c>
      <c r="B43" s="32">
        <v>36</v>
      </c>
      <c r="C43" s="22">
        <v>5</v>
      </c>
      <c r="D43" s="22" t="s">
        <v>188</v>
      </c>
      <c r="E43" s="22"/>
      <c r="F43" s="22" t="s">
        <v>189</v>
      </c>
      <c r="G43" s="22" t="s">
        <v>122</v>
      </c>
      <c r="H43" s="22" t="s">
        <v>190</v>
      </c>
      <c r="I43" s="23" t="s">
        <v>121</v>
      </c>
      <c r="J43" s="35">
        <v>2</v>
      </c>
      <c r="K43" s="25">
        <v>2</v>
      </c>
      <c r="L43" s="28">
        <v>2.1</v>
      </c>
      <c r="M43" s="52">
        <v>1.4</v>
      </c>
      <c r="N43" s="52">
        <v>1.3</v>
      </c>
      <c r="O43" s="49">
        <v>1.2</v>
      </c>
      <c r="P43" s="49">
        <v>1.2</v>
      </c>
      <c r="Q43" s="49" t="s">
        <v>276</v>
      </c>
      <c r="R43" s="49" t="s">
        <v>286</v>
      </c>
      <c r="S43" s="25">
        <v>20.56</v>
      </c>
      <c r="T43" s="143">
        <f t="shared" si="4"/>
        <v>6.1</v>
      </c>
      <c r="U43" s="143">
        <f>IF((VLOOKUP(Q43,MogulsDD!$A$1:$C$1000,3,FALSE)*(M43+O43)/2)&gt;3.75,3.75,VLOOKUP(Q43,MogulsDD!$A$1:$C$1000,3,FALSE)*(M43+O43)/2)+IF((VLOOKUP(R43,MogulsDD!$A$1:$C$1000,3,FALSE)*(N43+P43)/2)&gt;3.75,3.75,VLOOKUP(R43,MogulsDD!$A$1:$C$1000,3,FALSE)*(N43+P43)/2)</f>
        <v>2.7275</v>
      </c>
      <c r="V43" s="143">
        <f t="shared" si="5"/>
        <v>3.9578827546955058</v>
      </c>
      <c r="W43" s="144">
        <f>(J43+K43+L43)+IF((VLOOKUP(Q43,MogulsDD!$A$1:$C$1000,3,FALSE)*(M43+O43)/2)&gt;3.75,3.75,VLOOKUP(Q43,MogulsDD!$A$1:$C$1000,3,FALSE)*(M43+O43)/2)+IF((VLOOKUP(R43,MogulsDD!$A$1:$C$1000,3,FALSE)*(N43+P43)/2)&gt;3.75,3.75,VLOOKUP(R43,MogulsDD!$A$1:$C$1000,3,FALSE)*(N43+P43)/2)+IF((18-12*S43/$J$5)&gt;7.5,7.5,IF((18-12*S43/$J$5)&lt;0,0,(18-12*S43/$J$5)))</f>
        <v>12.785382754695506</v>
      </c>
      <c r="X43" s="38"/>
      <c r="Y43" s="38"/>
      <c r="Z43" s="38"/>
      <c r="AA43" s="38"/>
      <c r="AB43" s="39"/>
      <c r="AC43" s="38"/>
      <c r="AD43" s="38"/>
      <c r="AE43" s="38"/>
      <c r="AF43" s="38"/>
      <c r="AG43" s="39"/>
      <c r="AH43" s="38"/>
      <c r="AI43" s="38"/>
      <c r="AJ43" s="38"/>
      <c r="AK43" s="38"/>
      <c r="AL43" s="39"/>
      <c r="AM43" s="44"/>
      <c r="AN43" s="39"/>
      <c r="AO43" s="37"/>
      <c r="AP43" s="37"/>
    </row>
    <row r="44" spans="1:42">
      <c r="A44" s="19">
        <f t="shared" si="3"/>
        <v>15</v>
      </c>
      <c r="B44" s="32">
        <v>17</v>
      </c>
      <c r="C44" s="22">
        <v>18</v>
      </c>
      <c r="D44" s="22" t="s">
        <v>166</v>
      </c>
      <c r="E44" s="22"/>
      <c r="F44" s="22" t="s">
        <v>164</v>
      </c>
      <c r="G44" s="22" t="s">
        <v>209</v>
      </c>
      <c r="H44" s="22" t="s">
        <v>167</v>
      </c>
      <c r="I44" s="23" t="s">
        <v>133</v>
      </c>
      <c r="J44" s="35">
        <v>2.6</v>
      </c>
      <c r="K44" s="25">
        <v>2.2999999999999998</v>
      </c>
      <c r="L44" s="28">
        <v>2.1</v>
      </c>
      <c r="M44" s="52">
        <v>1.4</v>
      </c>
      <c r="N44" s="52">
        <v>0.3</v>
      </c>
      <c r="O44" s="49">
        <v>1.5</v>
      </c>
      <c r="P44" s="49">
        <v>0.6</v>
      </c>
      <c r="Q44" s="49" t="s">
        <v>279</v>
      </c>
      <c r="R44" s="49" t="s">
        <v>273</v>
      </c>
      <c r="S44" s="25">
        <v>20.69</v>
      </c>
      <c r="T44" s="143">
        <f t="shared" si="4"/>
        <v>7</v>
      </c>
      <c r="U44" s="143">
        <f>IF((VLOOKUP(Q44,MogulsDD!$A$1:$C$1000,3,FALSE)*(M44+O44)/2)&gt;3.75,3.75,VLOOKUP(Q44,MogulsDD!$A$1:$C$1000,3,FALSE)*(M44+O44)/2)+IF((VLOOKUP(R44,MogulsDD!$A$1:$C$1000,3,FALSE)*(N44+P44)/2)&gt;3.75,3.75,VLOOKUP(R44,MogulsDD!$A$1:$C$1000,3,FALSE)*(N44+P44)/2)</f>
        <v>1.222</v>
      </c>
      <c r="V44" s="143">
        <f t="shared" si="5"/>
        <v>3.8690950483779147</v>
      </c>
      <c r="W44" s="144">
        <f>(J44+K44+L44)+IF((VLOOKUP(Q44,MogulsDD!$A$1:$C$1000,3,FALSE)*(M44+O44)/2)&gt;3.75,3.75,VLOOKUP(Q44,MogulsDD!$A$1:$C$1000,3,FALSE)*(M44+O44)/2)+IF((VLOOKUP(R44,MogulsDD!$A$1:$C$1000,3,FALSE)*(N44+P44)/2)&gt;3.75,3.75,VLOOKUP(R44,MogulsDD!$A$1:$C$1000,3,FALSE)*(N44+P44)/2)+IF((18-12*S44/$J$5)&gt;7.5,7.5,IF((18-12*S44/$J$5)&lt;0,0,(18-12*S44/$J$5)))</f>
        <v>12.091095048377914</v>
      </c>
      <c r="X44" s="38"/>
      <c r="Y44" s="38"/>
      <c r="Z44" s="38"/>
      <c r="AA44" s="38"/>
      <c r="AB44" s="39"/>
      <c r="AC44" s="38"/>
      <c r="AD44" s="38"/>
      <c r="AE44" s="38"/>
      <c r="AF44" s="38"/>
      <c r="AG44" s="39"/>
      <c r="AH44" s="38"/>
      <c r="AI44" s="38"/>
      <c r="AJ44" s="38"/>
      <c r="AK44" s="38"/>
      <c r="AL44" s="39"/>
      <c r="AM44" s="44"/>
      <c r="AN44" s="39"/>
      <c r="AO44" s="37"/>
      <c r="AP44" s="37"/>
    </row>
    <row r="45" spans="1:42">
      <c r="A45" s="19">
        <f t="shared" si="3"/>
        <v>16</v>
      </c>
      <c r="B45" s="32">
        <v>2</v>
      </c>
      <c r="C45" s="22">
        <v>21</v>
      </c>
      <c r="D45" s="22" t="s">
        <v>191</v>
      </c>
      <c r="E45" s="22"/>
      <c r="F45" s="22" t="s">
        <v>192</v>
      </c>
      <c r="G45" s="22" t="s">
        <v>122</v>
      </c>
      <c r="H45" s="22" t="s">
        <v>195</v>
      </c>
      <c r="I45" s="23" t="s">
        <v>196</v>
      </c>
      <c r="J45" s="35">
        <v>2.2999999999999998</v>
      </c>
      <c r="K45" s="25">
        <v>2.2999999999999998</v>
      </c>
      <c r="L45" s="28">
        <v>2.4</v>
      </c>
      <c r="M45" s="52">
        <v>0.7</v>
      </c>
      <c r="N45" s="52">
        <v>0.3</v>
      </c>
      <c r="O45" s="49">
        <v>1</v>
      </c>
      <c r="P45" s="49">
        <v>0.5</v>
      </c>
      <c r="Q45" s="49" t="s">
        <v>279</v>
      </c>
      <c r="R45" s="49" t="s">
        <v>273</v>
      </c>
      <c r="S45" s="25">
        <v>23.25</v>
      </c>
      <c r="T45" s="143">
        <f t="shared" si="4"/>
        <v>7</v>
      </c>
      <c r="U45" s="143">
        <f>IF((VLOOKUP(Q45,MogulsDD!$A$1:$C$1000,3,FALSE)*(M45+O45)/2)&gt;3.75,3.75,VLOOKUP(Q45,MogulsDD!$A$1:$C$1000,3,FALSE)*(M45+O45)/2)+IF((VLOOKUP(R45,MogulsDD!$A$1:$C$1000,3,FALSE)*(N45+P45)/2)&gt;3.75,3.75,VLOOKUP(R45,MogulsDD!$A$1:$C$1000,3,FALSE)*(N45+P45)/2)</f>
        <v>0.81850000000000001</v>
      </c>
      <c r="V45" s="143">
        <f t="shared" si="5"/>
        <v>2.1206602162777468</v>
      </c>
      <c r="W45" s="144">
        <f>(J45+K45+L45)+IF((VLOOKUP(Q45,MogulsDD!$A$1:$C$1000,3,FALSE)*(M45+O45)/2)&gt;3.75,3.75,VLOOKUP(Q45,MogulsDD!$A$1:$C$1000,3,FALSE)*(M45+O45)/2)+IF((VLOOKUP(R45,MogulsDD!$A$1:$C$1000,3,FALSE)*(N45+P45)/2)&gt;3.75,3.75,VLOOKUP(R45,MogulsDD!$A$1:$C$1000,3,FALSE)*(N45+P45)/2)+IF((18-12*S45/$J$5)&gt;7.5,7.5,IF((18-12*S45/$J$5)&lt;0,0,(18-12*S45/$J$5)))</f>
        <v>9.9391602162777453</v>
      </c>
      <c r="X45" s="38"/>
      <c r="Y45" s="38"/>
      <c r="Z45" s="38"/>
      <c r="AA45" s="38"/>
      <c r="AB45" s="39"/>
      <c r="AC45" s="38"/>
      <c r="AD45" s="38"/>
      <c r="AE45" s="38"/>
      <c r="AF45" s="38"/>
      <c r="AG45" s="39"/>
      <c r="AH45" s="38"/>
      <c r="AI45" s="38"/>
      <c r="AJ45" s="38"/>
      <c r="AK45" s="38"/>
      <c r="AL45" s="39"/>
      <c r="AM45" s="44"/>
      <c r="AN45" s="39"/>
      <c r="AO45" s="37"/>
      <c r="AP45" s="37"/>
    </row>
    <row r="46" spans="1:42">
      <c r="A46" s="19">
        <f t="shared" si="3"/>
        <v>17</v>
      </c>
      <c r="B46" s="32">
        <v>95</v>
      </c>
      <c r="C46" s="22">
        <v>13</v>
      </c>
      <c r="D46" s="22" t="s">
        <v>134</v>
      </c>
      <c r="E46" s="22"/>
      <c r="F46" s="22" t="s">
        <v>135</v>
      </c>
      <c r="G46" s="22" t="s">
        <v>138</v>
      </c>
      <c r="H46" s="22" t="s">
        <v>136</v>
      </c>
      <c r="I46" s="23" t="s">
        <v>137</v>
      </c>
      <c r="J46" s="35">
        <v>2.1</v>
      </c>
      <c r="K46" s="25">
        <v>2</v>
      </c>
      <c r="L46" s="28">
        <v>1.9</v>
      </c>
      <c r="M46" s="52">
        <v>2.2999999999999998</v>
      </c>
      <c r="N46" s="52">
        <v>0.2</v>
      </c>
      <c r="O46" s="49">
        <v>2.2000000000000002</v>
      </c>
      <c r="P46" s="49">
        <v>0.1</v>
      </c>
      <c r="Q46" s="49" t="s">
        <v>284</v>
      </c>
      <c r="R46" s="49" t="s">
        <v>298</v>
      </c>
      <c r="S46" s="25">
        <v>24.83</v>
      </c>
      <c r="T46" s="143">
        <f t="shared" si="4"/>
        <v>6</v>
      </c>
      <c r="U46" s="143">
        <f>IF((VLOOKUP(Q46,MogulsDD!$A$1:$C$1000,3,FALSE)*(M46+O46)/2)&gt;3.75,3.75,VLOOKUP(Q46,MogulsDD!$A$1:$C$1000,3,FALSE)*(M46+O46)/2)+IF((VLOOKUP(R46,MogulsDD!$A$1:$C$1000,3,FALSE)*(N46+P46)/2)&gt;3.75,3.75,VLOOKUP(R46,MogulsDD!$A$1:$C$1000,3,FALSE)*(N46+P46)/2)</f>
        <v>2.5485000000000002</v>
      </c>
      <c r="V46" s="143">
        <f t="shared" si="5"/>
        <v>1.0415480933409249</v>
      </c>
      <c r="W46" s="144">
        <f>(J46+K46+L46)+IF((VLOOKUP(Q46,MogulsDD!$A$1:$C$1000,3,FALSE)*(M46+O46)/2)&gt;3.75,3.75,VLOOKUP(Q46,MogulsDD!$A$1:$C$1000,3,FALSE)*(M46+O46)/2)+IF((VLOOKUP(R46,MogulsDD!$A$1:$C$1000,3,FALSE)*(N46+P46)/2)&gt;3.75,3.75,VLOOKUP(R46,MogulsDD!$A$1:$C$1000,3,FALSE)*(N46+P46)/2)+IF((18-12*S46/$J$5)&gt;7.5,7.5,IF((18-12*S46/$J$5)&lt;0,0,(18-12*S46/$J$5)))</f>
        <v>9.5900480933409256</v>
      </c>
      <c r="X46" s="38"/>
      <c r="Y46" s="38"/>
      <c r="Z46" s="38"/>
      <c r="AA46" s="38"/>
      <c r="AB46" s="39"/>
      <c r="AC46" s="38"/>
      <c r="AD46" s="38"/>
      <c r="AE46" s="38"/>
      <c r="AF46" s="38"/>
      <c r="AG46" s="39"/>
      <c r="AH46" s="38"/>
      <c r="AI46" s="38"/>
      <c r="AJ46" s="38"/>
      <c r="AK46" s="38"/>
      <c r="AL46" s="39"/>
      <c r="AM46" s="44"/>
      <c r="AN46" s="39"/>
      <c r="AO46" s="37"/>
      <c r="AP46" s="37"/>
    </row>
    <row r="47" spans="1:42">
      <c r="A47" s="19">
        <f t="shared" si="3"/>
        <v>18</v>
      </c>
      <c r="B47" s="32">
        <v>43</v>
      </c>
      <c r="C47" s="22">
        <v>14</v>
      </c>
      <c r="D47" s="22" t="s">
        <v>163</v>
      </c>
      <c r="E47" s="22"/>
      <c r="F47" s="22" t="s">
        <v>164</v>
      </c>
      <c r="G47" s="22" t="s">
        <v>209</v>
      </c>
      <c r="H47" s="22" t="s">
        <v>165</v>
      </c>
      <c r="I47" s="23" t="s">
        <v>103</v>
      </c>
      <c r="J47" s="35">
        <v>2</v>
      </c>
      <c r="K47" s="25">
        <v>2</v>
      </c>
      <c r="L47" s="28">
        <v>2.1</v>
      </c>
      <c r="M47" s="52">
        <v>0</v>
      </c>
      <c r="N47" s="52">
        <v>0.2</v>
      </c>
      <c r="O47" s="49">
        <v>0</v>
      </c>
      <c r="P47" s="49">
        <v>0.2</v>
      </c>
      <c r="Q47" s="49" t="s">
        <v>279</v>
      </c>
      <c r="R47" s="49" t="s">
        <v>282</v>
      </c>
      <c r="S47" s="25">
        <v>21.45</v>
      </c>
      <c r="T47" s="143">
        <f t="shared" si="4"/>
        <v>6.1</v>
      </c>
      <c r="U47" s="143">
        <f>IF((VLOOKUP(Q47,MogulsDD!$A$1:$C$1000,3,FALSE)*(M47+O47)/2)&gt;3.75,3.75,VLOOKUP(Q47,MogulsDD!$A$1:$C$1000,3,FALSE)*(M47+O47)/2)+IF((VLOOKUP(R47,MogulsDD!$A$1:$C$1000,3,FALSE)*(N47+P47)/2)&gt;3.75,3.75,VLOOKUP(R47,MogulsDD!$A$1:$C$1000,3,FALSE)*(N47+P47)/2)</f>
        <v>0.124</v>
      </c>
      <c r="V47" s="143">
        <f t="shared" si="5"/>
        <v>3.3500284575981798</v>
      </c>
      <c r="W47" s="144">
        <f>(J47+K47+L47)+IF((VLOOKUP(Q47,MogulsDD!$A$1:$C$1000,3,FALSE)*(M47+O47)/2)&gt;3.75,3.75,VLOOKUP(Q47,MogulsDD!$A$1:$C$1000,3,FALSE)*(M47+O47)/2)+IF((VLOOKUP(R47,MogulsDD!$A$1:$C$1000,3,FALSE)*(N47+P47)/2)&gt;3.75,3.75,VLOOKUP(R47,MogulsDD!$A$1:$C$1000,3,FALSE)*(N47+P47)/2)+IF((18-12*S47/$J$5)&gt;7.5,7.5,IF((18-12*S47/$J$5)&lt;0,0,(18-12*S47/$J$5)))</f>
        <v>9.5740284575981782</v>
      </c>
      <c r="X47" s="38"/>
      <c r="Y47" s="38"/>
      <c r="Z47" s="38"/>
      <c r="AA47" s="38"/>
      <c r="AB47" s="39"/>
      <c r="AC47" s="38"/>
      <c r="AD47" s="38"/>
      <c r="AE47" s="38"/>
      <c r="AF47" s="38"/>
      <c r="AG47" s="39"/>
      <c r="AH47" s="38"/>
      <c r="AI47" s="38"/>
      <c r="AJ47" s="38"/>
      <c r="AK47" s="38"/>
      <c r="AL47" s="39"/>
      <c r="AM47" s="44"/>
      <c r="AN47" s="39"/>
      <c r="AO47" s="37"/>
      <c r="AP47" s="37"/>
    </row>
    <row r="48" spans="1:42">
      <c r="A48" s="19">
        <f t="shared" si="3"/>
        <v>19</v>
      </c>
      <c r="B48" s="32">
        <v>84</v>
      </c>
      <c r="C48" s="22">
        <v>6</v>
      </c>
      <c r="D48" s="22" t="s">
        <v>194</v>
      </c>
      <c r="E48" s="22"/>
      <c r="F48" s="22" t="s">
        <v>192</v>
      </c>
      <c r="G48" s="22" t="s">
        <v>122</v>
      </c>
      <c r="H48" s="22" t="s">
        <v>195</v>
      </c>
      <c r="I48" s="23" t="s">
        <v>196</v>
      </c>
      <c r="J48" s="35">
        <v>2.5</v>
      </c>
      <c r="K48" s="25">
        <v>2.2999999999999998</v>
      </c>
      <c r="L48" s="28">
        <v>2.2000000000000002</v>
      </c>
      <c r="M48" s="52">
        <v>0</v>
      </c>
      <c r="N48" s="52">
        <v>1</v>
      </c>
      <c r="O48" s="49">
        <v>0</v>
      </c>
      <c r="P48" s="49">
        <v>1</v>
      </c>
      <c r="Q48" s="49" t="s">
        <v>280</v>
      </c>
      <c r="R48" s="49" t="s">
        <v>279</v>
      </c>
      <c r="S48" s="25">
        <v>23.56</v>
      </c>
      <c r="T48" s="143">
        <f t="shared" si="4"/>
        <v>7</v>
      </c>
      <c r="U48" s="143">
        <f>IF((VLOOKUP(Q48,MogulsDD!$A$1:$C$1000,3,FALSE)*(M48+O48)/2)&gt;3.75,3.75,VLOOKUP(Q48,MogulsDD!$A$1:$C$1000,3,FALSE)*(M48+O48)/2)+IF((VLOOKUP(R48,MogulsDD!$A$1:$C$1000,3,FALSE)*(N48+P48)/2)&gt;3.75,3.75,VLOOKUP(R48,MogulsDD!$A$1:$C$1000,3,FALSE)*(N48+P48)/2)</f>
        <v>0.61</v>
      </c>
      <c r="V48" s="143">
        <f t="shared" si="5"/>
        <v>1.9089356858281192</v>
      </c>
      <c r="W48" s="144">
        <f>(J48+K48+L48)+IF((VLOOKUP(Q48,MogulsDD!$A$1:$C$1000,3,FALSE)*(M48+O48)/2)&gt;3.75,3.75,VLOOKUP(Q48,MogulsDD!$A$1:$C$1000,3,FALSE)*(M48+O48)/2)+IF((VLOOKUP(R48,MogulsDD!$A$1:$C$1000,3,FALSE)*(N48+P48)/2)&gt;3.75,3.75,VLOOKUP(R48,MogulsDD!$A$1:$C$1000,3,FALSE)*(N48+P48)/2)+IF((18-12*S48/$J$5)&gt;7.5,7.5,IF((18-12*S48/$J$5)&lt;0,0,(18-12*S48/$J$5)))</f>
        <v>9.5189356858281187</v>
      </c>
      <c r="X48" s="38"/>
      <c r="Y48" s="38"/>
      <c r="Z48" s="38"/>
      <c r="AA48" s="38"/>
      <c r="AB48" s="39"/>
      <c r="AC48" s="38"/>
      <c r="AD48" s="38"/>
      <c r="AE48" s="38"/>
      <c r="AF48" s="38"/>
      <c r="AG48" s="39"/>
      <c r="AH48" s="38"/>
      <c r="AI48" s="38"/>
      <c r="AJ48" s="38"/>
      <c r="AK48" s="38"/>
      <c r="AL48" s="39"/>
      <c r="AM48" s="44"/>
      <c r="AN48" s="39"/>
      <c r="AO48" s="37"/>
      <c r="AP48" s="37"/>
    </row>
    <row r="49" spans="1:42">
      <c r="A49" s="19">
        <f t="shared" si="3"/>
        <v>20</v>
      </c>
      <c r="B49" s="32">
        <v>15</v>
      </c>
      <c r="C49" s="22">
        <v>16</v>
      </c>
      <c r="D49" s="22" t="s">
        <v>237</v>
      </c>
      <c r="E49" s="22"/>
      <c r="F49" s="22"/>
      <c r="G49" s="22" t="s">
        <v>240</v>
      </c>
      <c r="H49" s="22" t="s">
        <v>244</v>
      </c>
      <c r="I49" s="23"/>
      <c r="J49" s="142">
        <v>1.4</v>
      </c>
      <c r="K49" s="25">
        <v>1.3</v>
      </c>
      <c r="L49" s="109">
        <v>1.2</v>
      </c>
      <c r="M49" s="110">
        <v>0</v>
      </c>
      <c r="N49" s="110">
        <v>0.9</v>
      </c>
      <c r="O49" s="56">
        <v>0</v>
      </c>
      <c r="P49" s="56">
        <v>1</v>
      </c>
      <c r="Q49" s="49" t="s">
        <v>280</v>
      </c>
      <c r="R49" s="49" t="s">
        <v>279</v>
      </c>
      <c r="S49" s="25">
        <v>22.65</v>
      </c>
      <c r="T49" s="143">
        <f t="shared" si="4"/>
        <v>3.9000000000000004</v>
      </c>
      <c r="U49" s="143">
        <f>IF((VLOOKUP(Q49,MogulsDD!$A$1:$C$1000,3,FALSE)*(M49+O49)/2)&gt;3.75,3.75,VLOOKUP(Q49,MogulsDD!$A$1:$C$1000,3,FALSE)*(M49+O49)/2)+IF((VLOOKUP(R49,MogulsDD!$A$1:$C$1000,3,FALSE)*(N49+P49)/2)&gt;3.75,3.75,VLOOKUP(R49,MogulsDD!$A$1:$C$1000,3,FALSE)*(N49+P49)/2)</f>
        <v>0.57950000000000002</v>
      </c>
      <c r="V49" s="143">
        <f t="shared" si="5"/>
        <v>2.5304496300512263</v>
      </c>
      <c r="W49" s="144">
        <f>(J49+K49+L49)+IF((VLOOKUP(Q49,MogulsDD!$A$1:$C$1000,3,FALSE)*(M49+O49)/2)&gt;3.75,3.75,VLOOKUP(Q49,MogulsDD!$A$1:$C$1000,3,FALSE)*(M49+O49)/2)+IF((VLOOKUP(R49,MogulsDD!$A$1:$C$1000,3,FALSE)*(N49+P49)/2)&gt;3.75,3.75,VLOOKUP(R49,MogulsDD!$A$1:$C$1000,3,FALSE)*(N49+P49)/2)+IF((18-12*S49/$J$5)&gt;7.5,7.5,IF((18-12*S49/$J$5)&lt;0,0,(18-12*S49/$J$5)))</f>
        <v>7.009949630051227</v>
      </c>
      <c r="X49" s="38"/>
      <c r="Y49" s="38"/>
      <c r="Z49" s="38"/>
      <c r="AA49" s="38"/>
      <c r="AB49" s="39"/>
      <c r="AC49" s="38"/>
      <c r="AD49" s="38"/>
      <c r="AE49" s="38"/>
      <c r="AF49" s="38"/>
      <c r="AG49" s="39"/>
      <c r="AH49" s="38"/>
      <c r="AI49" s="38"/>
      <c r="AJ49" s="38"/>
      <c r="AK49" s="38"/>
      <c r="AL49" s="39"/>
      <c r="AM49" s="44"/>
      <c r="AN49" s="39"/>
      <c r="AO49" s="37"/>
      <c r="AP49" s="37"/>
    </row>
    <row r="50" spans="1:42">
      <c r="A50" s="19">
        <f t="shared" si="3"/>
        <v>21</v>
      </c>
      <c r="B50" s="32">
        <v>20</v>
      </c>
      <c r="C50" s="22">
        <v>15</v>
      </c>
      <c r="D50" s="22" t="s">
        <v>107</v>
      </c>
      <c r="E50" s="22"/>
      <c r="F50" s="22" t="s">
        <v>108</v>
      </c>
      <c r="G50" s="22" t="s">
        <v>122</v>
      </c>
      <c r="H50" s="22" t="s">
        <v>109</v>
      </c>
      <c r="I50" s="23" t="s">
        <v>103</v>
      </c>
      <c r="J50" s="35"/>
      <c r="K50" s="25">
        <f>(J50+L50)/2</f>
        <v>0</v>
      </c>
      <c r="L50" s="28"/>
      <c r="M50" s="52"/>
      <c r="N50" s="52"/>
      <c r="O50" s="49"/>
      <c r="P50" s="49"/>
      <c r="Q50" s="49" t="s">
        <v>63</v>
      </c>
      <c r="R50" s="49" t="s">
        <v>63</v>
      </c>
      <c r="S50" s="25">
        <v>9999</v>
      </c>
      <c r="T50" s="143">
        <f t="shared" si="4"/>
        <v>0</v>
      </c>
      <c r="U50" s="143">
        <f>IF((VLOOKUP(Q50,MogulsDD!$A$1:$C$1000,3,FALSE)*(M50+O50)/2)&gt;3.75,3.75,VLOOKUP(Q50,MogulsDD!$A$1:$C$1000,3,FALSE)*(M50+O50)/2)+IF((VLOOKUP(R50,MogulsDD!$A$1:$C$1000,3,FALSE)*(N50+P50)/2)&gt;3.75,3.75,VLOOKUP(R50,MogulsDD!$A$1:$C$1000,3,FALSE)*(N50+P50)/2)</f>
        <v>0</v>
      </c>
      <c r="V50" s="143">
        <f t="shared" si="5"/>
        <v>0</v>
      </c>
      <c r="W50" s="144">
        <f>(J50+K50+L50)+IF((VLOOKUP(Q50,MogulsDD!$A$1:$C$1000,3,FALSE)*(M50+O50)/2)&gt;3.75,3.75,VLOOKUP(Q50,MogulsDD!$A$1:$C$1000,3,FALSE)*(M50+O50)/2)+IF((VLOOKUP(R50,MogulsDD!$A$1:$C$1000,3,FALSE)*(N50+P50)/2)&gt;3.75,3.75,VLOOKUP(R50,MogulsDD!$A$1:$C$1000,3,FALSE)*(N50+P50)/2)+IF((18-12*S50/$J$5)&gt;7.5,7.5,IF((18-12*S50/$J$5)&lt;0,0,(18-12*S50/$J$5)))</f>
        <v>0</v>
      </c>
      <c r="X50" s="38"/>
      <c r="Y50" s="38"/>
      <c r="Z50" s="38"/>
      <c r="AA50" s="38"/>
      <c r="AB50" s="39"/>
      <c r="AC50" s="38"/>
      <c r="AD50" s="38"/>
      <c r="AE50" s="38"/>
      <c r="AF50" s="38"/>
      <c r="AG50" s="39"/>
      <c r="AH50" s="38"/>
      <c r="AI50" s="38"/>
      <c r="AJ50" s="38"/>
      <c r="AK50" s="38"/>
      <c r="AL50" s="39"/>
      <c r="AM50" s="44"/>
      <c r="AN50" s="39"/>
      <c r="AO50" s="37"/>
      <c r="AP50" s="37"/>
    </row>
    <row r="51" spans="1:42"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7"/>
      <c r="AP51" s="37"/>
    </row>
    <row r="52" spans="1:42"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7"/>
      <c r="AP52" s="37"/>
    </row>
    <row r="53" spans="1:42"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7"/>
      <c r="AP53" s="37"/>
    </row>
    <row r="54" spans="1:42"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7"/>
      <c r="AP54" s="37"/>
    </row>
    <row r="55" spans="1:42"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7"/>
      <c r="AP55" s="37"/>
    </row>
    <row r="56" spans="1:42"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7"/>
      <c r="AP56" s="37"/>
    </row>
    <row r="57" spans="1:42"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7"/>
      <c r="AP57" s="37"/>
    </row>
    <row r="58" spans="1:42"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7"/>
      <c r="AP58" s="37"/>
    </row>
    <row r="59" spans="1:42"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7"/>
      <c r="AP59" s="37"/>
    </row>
    <row r="60" spans="1:42"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7"/>
      <c r="AP60" s="37"/>
    </row>
    <row r="61" spans="1:42"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7"/>
      <c r="AP61" s="37"/>
    </row>
    <row r="62" spans="1:42"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7"/>
      <c r="AP62" s="37"/>
    </row>
    <row r="63" spans="1:42"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7"/>
      <c r="AP63" s="37"/>
    </row>
    <row r="64" spans="1:42"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7"/>
      <c r="AP64" s="37"/>
    </row>
    <row r="65" spans="24:42"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7"/>
      <c r="AP65" s="37"/>
    </row>
    <row r="66" spans="24:42"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7"/>
      <c r="AP66" s="37"/>
    </row>
    <row r="67" spans="24:42"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7"/>
      <c r="AP67" s="37"/>
    </row>
    <row r="68" spans="24:42"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7"/>
      <c r="AP68" s="37"/>
    </row>
    <row r="69" spans="24:42"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7"/>
      <c r="AP69" s="37"/>
    </row>
    <row r="70" spans="24:42"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7"/>
      <c r="AP70" s="37"/>
    </row>
    <row r="71" spans="24:42"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</row>
    <row r="72" spans="24:42"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</row>
    <row r="73" spans="24:42"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</row>
    <row r="74" spans="24:42"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</row>
    <row r="75" spans="24:42"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</row>
    <row r="76" spans="24:42"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</row>
    <row r="77" spans="24:42"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</row>
    <row r="78" spans="24:42"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</row>
    <row r="79" spans="24:42"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</row>
    <row r="80" spans="24:42"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</row>
    <row r="81" spans="24:42"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</row>
    <row r="82" spans="24:42"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</row>
    <row r="83" spans="24:42"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</row>
    <row r="84" spans="24:42"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</row>
    <row r="85" spans="24:42"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</row>
    <row r="86" spans="24:42"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</row>
    <row r="87" spans="24:42"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</row>
    <row r="88" spans="24:42"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</row>
    <row r="89" spans="24:42"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</row>
    <row r="90" spans="24:42"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</row>
    <row r="91" spans="24:42"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</row>
    <row r="92" spans="24:42"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</row>
  </sheetData>
  <sortState ref="B30:W50">
    <sortCondition descending="1" ref="W30:W50"/>
  </sortState>
  <mergeCells count="12">
    <mergeCell ref="A1:I1"/>
    <mergeCell ref="A2:I2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G44"/>
  <sheetViews>
    <sheetView topLeftCell="A9" workbookViewId="0">
      <selection activeCell="E13" sqref="E13:E32"/>
    </sheetView>
  </sheetViews>
  <sheetFormatPr defaultRowHeight="13.2"/>
  <cols>
    <col min="1" max="1" width="14" customWidth="1"/>
    <col min="3" max="3" width="16.6640625" customWidth="1"/>
    <col min="4" max="4" width="14" customWidth="1"/>
    <col min="8" max="8" width="14" customWidth="1"/>
    <col min="10" max="10" width="22.6640625" customWidth="1"/>
    <col min="15" max="15" width="20.88671875" customWidth="1"/>
    <col min="20" max="20" width="21.88671875" customWidth="1"/>
    <col min="25" max="25" width="21.109375" customWidth="1"/>
    <col min="30" max="30" width="26.44140625" customWidth="1"/>
  </cols>
  <sheetData>
    <row r="1" spans="1:33" ht="24.6">
      <c r="A1" s="159" t="s">
        <v>259</v>
      </c>
      <c r="B1" s="159"/>
      <c r="C1" s="159"/>
      <c r="D1" s="159"/>
      <c r="E1" s="159"/>
      <c r="F1" s="159"/>
      <c r="G1" s="159"/>
      <c r="H1" s="159"/>
      <c r="I1" s="159"/>
      <c r="J1" s="96"/>
      <c r="K1" s="96"/>
    </row>
    <row r="2" spans="1:33" ht="17.399999999999999">
      <c r="A2" s="160"/>
      <c r="B2" s="160"/>
      <c r="C2" s="160"/>
      <c r="D2" s="160"/>
      <c r="E2" s="160"/>
      <c r="F2" s="160"/>
      <c r="G2" s="160"/>
      <c r="H2" s="160"/>
      <c r="I2" s="160"/>
      <c r="J2" s="97"/>
      <c r="K2" s="97"/>
    </row>
    <row r="3" spans="1:33">
      <c r="A3" s="7"/>
      <c r="B3" s="1"/>
      <c r="C3" s="1"/>
      <c r="D3" s="1"/>
      <c r="E3" s="1"/>
      <c r="F3" s="1"/>
      <c r="G3" s="1"/>
      <c r="H3" s="1"/>
      <c r="I3" s="1"/>
      <c r="J3" s="1" t="s">
        <v>299</v>
      </c>
      <c r="K3" s="1" t="s">
        <v>219</v>
      </c>
      <c r="M3" t="s">
        <v>216</v>
      </c>
      <c r="N3" t="s">
        <v>224</v>
      </c>
    </row>
    <row r="4" spans="1:33" ht="13.8" thickBot="1">
      <c r="A4" s="7"/>
      <c r="B4" s="1"/>
      <c r="C4" s="1"/>
      <c r="D4" s="1"/>
      <c r="E4" s="1"/>
      <c r="F4" s="1"/>
      <c r="G4" s="1"/>
      <c r="H4" s="1"/>
      <c r="I4" s="1"/>
      <c r="J4" s="1" t="s">
        <v>300</v>
      </c>
      <c r="K4" s="1" t="s">
        <v>221</v>
      </c>
      <c r="M4" t="s">
        <v>217</v>
      </c>
      <c r="N4" s="141" t="s">
        <v>222</v>
      </c>
      <c r="O4" s="71"/>
      <c r="P4" s="71"/>
    </row>
    <row r="5" spans="1:33">
      <c r="A5" s="161" t="s">
        <v>6</v>
      </c>
      <c r="B5" s="162"/>
      <c r="C5" s="166" t="s">
        <v>255</v>
      </c>
      <c r="D5" s="167"/>
      <c r="E5" s="167"/>
      <c r="F5" s="168"/>
      <c r="G5" s="1"/>
      <c r="H5" s="1"/>
      <c r="I5" s="36"/>
      <c r="J5" s="1" t="s">
        <v>301</v>
      </c>
      <c r="K5" s="1" t="s">
        <v>223</v>
      </c>
    </row>
    <row r="6" spans="1:33">
      <c r="A6" s="149" t="s">
        <v>7</v>
      </c>
      <c r="B6" s="150"/>
      <c r="C6" s="169" t="s">
        <v>258</v>
      </c>
      <c r="D6" s="170"/>
      <c r="E6" s="170"/>
      <c r="F6" s="171"/>
      <c r="G6" s="1"/>
      <c r="H6" s="1"/>
      <c r="I6" s="1"/>
      <c r="J6" s="1" t="s">
        <v>303</v>
      </c>
      <c r="K6" s="1" t="s">
        <v>308</v>
      </c>
      <c r="M6" t="s">
        <v>225</v>
      </c>
      <c r="N6" t="s">
        <v>226</v>
      </c>
    </row>
    <row r="7" spans="1:33">
      <c r="A7" s="149" t="s">
        <v>8</v>
      </c>
      <c r="B7" s="150"/>
      <c r="C7" s="169" t="s">
        <v>311</v>
      </c>
      <c r="D7" s="170"/>
      <c r="E7" s="170"/>
      <c r="F7" s="171"/>
      <c r="G7" s="1"/>
      <c r="H7" s="1"/>
      <c r="I7" s="1"/>
      <c r="J7" s="1" t="s">
        <v>302</v>
      </c>
      <c r="K7" s="1" t="s">
        <v>222</v>
      </c>
    </row>
    <row r="8" spans="1:33">
      <c r="A8" s="149" t="s">
        <v>9</v>
      </c>
      <c r="B8" s="150"/>
      <c r="C8" s="169" t="s">
        <v>104</v>
      </c>
      <c r="D8" s="170"/>
      <c r="E8" s="170"/>
      <c r="F8" s="171"/>
      <c r="G8" s="1"/>
      <c r="H8" s="1"/>
      <c r="I8" s="1"/>
      <c r="J8" s="1"/>
      <c r="K8" s="1"/>
    </row>
    <row r="9" spans="1:33" ht="13.8" thickBot="1">
      <c r="A9" s="154" t="s">
        <v>10</v>
      </c>
      <c r="B9" s="155"/>
      <c r="C9" s="173" t="s">
        <v>307</v>
      </c>
      <c r="D9" s="174"/>
      <c r="E9" s="174"/>
      <c r="F9" s="175"/>
      <c r="G9" s="1"/>
      <c r="H9" s="1"/>
      <c r="I9" s="1"/>
      <c r="J9" s="75" t="s">
        <v>306</v>
      </c>
      <c r="K9" s="75"/>
    </row>
    <row r="11" spans="1:33">
      <c r="A11" s="172" t="s">
        <v>309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</row>
    <row r="12" spans="1:33">
      <c r="A12" s="60" t="s">
        <v>91</v>
      </c>
      <c r="B12" s="60" t="s">
        <v>1</v>
      </c>
      <c r="C12" s="60" t="s">
        <v>2</v>
      </c>
      <c r="D12" s="60" t="s">
        <v>238</v>
      </c>
      <c r="E12" s="60" t="s">
        <v>92</v>
      </c>
      <c r="F12" s="179" t="s">
        <v>317</v>
      </c>
      <c r="G12" s="60" t="s">
        <v>93</v>
      </c>
      <c r="H12" s="60" t="s">
        <v>91</v>
      </c>
      <c r="I12" s="60" t="s">
        <v>1</v>
      </c>
      <c r="J12" s="60" t="s">
        <v>99</v>
      </c>
      <c r="K12" s="60" t="s">
        <v>100</v>
      </c>
      <c r="L12" s="60" t="s">
        <v>94</v>
      </c>
      <c r="M12" s="62" t="s">
        <v>95</v>
      </c>
      <c r="N12" s="61" t="s">
        <v>1</v>
      </c>
      <c r="O12" s="60" t="s">
        <v>99</v>
      </c>
      <c r="P12" s="60" t="s">
        <v>100</v>
      </c>
      <c r="Q12" s="61" t="s">
        <v>94</v>
      </c>
      <c r="R12" s="62" t="s">
        <v>267</v>
      </c>
      <c r="S12" s="61" t="s">
        <v>1</v>
      </c>
      <c r="T12" s="60" t="s">
        <v>99</v>
      </c>
      <c r="U12" s="60" t="s">
        <v>100</v>
      </c>
      <c r="V12" s="61" t="s">
        <v>94</v>
      </c>
      <c r="W12" s="61" t="s">
        <v>96</v>
      </c>
      <c r="X12" s="61" t="s">
        <v>1</v>
      </c>
      <c r="Y12" s="60" t="s">
        <v>99</v>
      </c>
      <c r="Z12" s="60" t="s">
        <v>100</v>
      </c>
      <c r="AA12" s="61" t="s">
        <v>94</v>
      </c>
      <c r="AB12" s="63" t="s">
        <v>97</v>
      </c>
      <c r="AC12" s="61" t="s">
        <v>1</v>
      </c>
      <c r="AD12" s="60" t="s">
        <v>99</v>
      </c>
      <c r="AE12" s="60" t="s">
        <v>100</v>
      </c>
      <c r="AF12" s="61" t="s">
        <v>18</v>
      </c>
    </row>
    <row r="13" spans="1:33">
      <c r="A13" s="98">
        <v>1</v>
      </c>
      <c r="B13" s="98">
        <v>56</v>
      </c>
      <c r="C13" s="57" t="s">
        <v>172</v>
      </c>
      <c r="D13" s="57">
        <v>2531748</v>
      </c>
      <c r="E13" s="178">
        <v>23.946310472396128</v>
      </c>
      <c r="F13" s="176">
        <v>4</v>
      </c>
      <c r="G13" s="180" t="s">
        <v>239</v>
      </c>
      <c r="H13" s="68">
        <v>1</v>
      </c>
      <c r="I13" s="68">
        <f>B13</f>
        <v>56</v>
      </c>
      <c r="J13" s="68" t="str">
        <f>RANK(VLOOKUP(I13,$B$13:$E$44,4,FALSE),$E$13:$E$44,1) &amp; " " &amp; VLOOKUP(I13,$B$13:$E$44,2,FALSE)</f>
        <v>20 Aigner Thomas</v>
      </c>
      <c r="K13" s="68"/>
      <c r="L13" s="68">
        <v>56</v>
      </c>
      <c r="M13" s="76"/>
      <c r="N13" s="68">
        <f>L13</f>
        <v>56</v>
      </c>
      <c r="O13" s="68" t="str">
        <f>RANK(VLOOKUP(N13,$B$13:$E$44,4,FALSE),$E$13:$E$44,1) &amp; " " &amp; VLOOKUP(N13,$B$13:$E$44,2,FALSE)</f>
        <v>20 Aigner Thomas</v>
      </c>
      <c r="P13" s="68"/>
      <c r="Q13" s="68">
        <v>95</v>
      </c>
      <c r="R13" s="76"/>
      <c r="S13" s="68">
        <f>Q13</f>
        <v>95</v>
      </c>
      <c r="T13" s="68" t="str">
        <f>RANK(VLOOKUP(S13,$B$13:$E$44,4,FALSE),$E$13:$E$44,1) &amp; " " &amp; VLOOKUP(S13,$B$13:$E$44,2,FALSE)</f>
        <v>4 Nick Page</v>
      </c>
      <c r="U13" s="68"/>
      <c r="V13" s="68">
        <v>44</v>
      </c>
      <c r="W13" s="77"/>
      <c r="X13" s="68">
        <f>V13</f>
        <v>44</v>
      </c>
      <c r="Y13" s="68" t="str">
        <f>RANK(VLOOKUP(X13,$B$13:$E$44,4,FALSE),$E$13:$E$44,1) &amp; " " &amp; VLOOKUP(X13,$B$13:$E$44,2,FALSE)</f>
        <v>12 William Feneley</v>
      </c>
      <c r="Z13" s="68">
        <f>2+2+2+3+1</f>
        <v>10</v>
      </c>
      <c r="AA13" s="68">
        <v>100</v>
      </c>
      <c r="AB13" s="76"/>
      <c r="AC13" s="68">
        <f>AA13</f>
        <v>100</v>
      </c>
      <c r="AD13" s="68" t="str">
        <f>RANK(VLOOKUP(AC13,$B$13:$E$44,4,FALSE),$E$13:$E$44,1) &amp; " " &amp; VLOOKUP(AC13,$B$13:$E$44,2,FALSE)</f>
        <v>17 Nicolo' Manna</v>
      </c>
      <c r="AE13" s="69"/>
      <c r="AF13" s="98">
        <v>115</v>
      </c>
    </row>
    <row r="14" spans="1:33">
      <c r="A14" s="98">
        <v>2</v>
      </c>
      <c r="B14" s="98">
        <v>97</v>
      </c>
      <c r="C14" s="57" t="s">
        <v>159</v>
      </c>
      <c r="D14" s="57">
        <v>2485295</v>
      </c>
      <c r="E14" s="178">
        <v>23.200807057484347</v>
      </c>
      <c r="F14" s="176">
        <v>5</v>
      </c>
      <c r="G14" s="180" t="s">
        <v>122</v>
      </c>
      <c r="H14" s="68">
        <v>32</v>
      </c>
      <c r="I14" s="68">
        <f>B44</f>
        <v>0</v>
      </c>
      <c r="J14" s="68" t="str">
        <f t="shared" ref="J14:J44" si="0">RANK(VLOOKUP(I14,$B$13:$E$44,4,FALSE),$E$13:$E$44,1) &amp; " " &amp; VLOOKUP(I14,$B$13:$E$44,2,FALSE)</f>
        <v>21 0</v>
      </c>
      <c r="K14" s="77"/>
      <c r="L14" s="76"/>
      <c r="M14" s="76"/>
      <c r="N14" s="68">
        <f>L15</f>
        <v>95</v>
      </c>
      <c r="O14" s="68" t="str">
        <f t="shared" ref="O14:O28" si="1">RANK(VLOOKUP(N14,$B$13:$E$44,4,FALSE),$E$13:$E$44,1) &amp; " " &amp; VLOOKUP(N14,$B$13:$E$44,2,FALSE)</f>
        <v>4 Nick Page</v>
      </c>
      <c r="P14" s="77">
        <f>3+3+3+3+4</f>
        <v>16</v>
      </c>
      <c r="Q14" s="77"/>
      <c r="R14" s="76"/>
      <c r="S14" s="68">
        <f>Q15</f>
        <v>44</v>
      </c>
      <c r="T14" s="68" t="str">
        <f t="shared" ref="T14:T20" si="2">RANK(VLOOKUP(S14,$B$13:$E$44,4,FALSE),$E$13:$E$44,1) &amp; " " &amp; VLOOKUP(S14,$B$13:$E$44,2,FALSE)</f>
        <v>12 William Feneley</v>
      </c>
      <c r="U14" s="77">
        <f>2+2+3+3+3</f>
        <v>13</v>
      </c>
      <c r="V14" s="77"/>
      <c r="W14" s="77"/>
      <c r="X14" s="68">
        <f>V15</f>
        <v>100</v>
      </c>
      <c r="Y14" s="68" t="str">
        <f t="shared" ref="Y14:Y16" si="3">RANK(VLOOKUP(X14,$B$13:$E$44,4,FALSE),$E$13:$E$44,1) &amp; " " &amp; VLOOKUP(X14,$B$13:$E$44,2,FALSE)</f>
        <v>17 Nicolo' Manna</v>
      </c>
      <c r="Z14" s="77"/>
      <c r="AA14" s="76"/>
      <c r="AB14" s="76"/>
      <c r="AC14" s="68">
        <f>AA15</f>
        <v>115</v>
      </c>
      <c r="AD14" s="68" t="str">
        <f>RANK(VLOOKUP(AC14,$B$13:$E$44,4,FALSE),$E$13:$E$44,1) &amp; " " &amp; VLOOKUP(AC14,$B$13:$E$44,2,FALSE)</f>
        <v>14 IKUMA HORISHIMA</v>
      </c>
      <c r="AE14" s="78">
        <v>25</v>
      </c>
      <c r="AF14" s="58" t="s">
        <v>19</v>
      </c>
    </row>
    <row r="15" spans="1:33">
      <c r="A15" s="98">
        <v>3</v>
      </c>
      <c r="B15" s="98">
        <v>81</v>
      </c>
      <c r="C15" s="57" t="s">
        <v>205</v>
      </c>
      <c r="D15" s="57">
        <v>2530651</v>
      </c>
      <c r="E15" s="178">
        <v>23.031678998292545</v>
      </c>
      <c r="F15" s="176">
        <v>2</v>
      </c>
      <c r="G15" s="180" t="s">
        <v>207</v>
      </c>
      <c r="H15" s="69">
        <v>17</v>
      </c>
      <c r="I15" s="69">
        <f>B29</f>
        <v>95</v>
      </c>
      <c r="J15" s="69" t="str">
        <f t="shared" si="0"/>
        <v>4 Nick Page</v>
      </c>
      <c r="K15" s="69">
        <v>25</v>
      </c>
      <c r="L15" s="69">
        <v>95</v>
      </c>
      <c r="M15" s="103"/>
      <c r="N15" s="69">
        <f>L17</f>
        <v>44</v>
      </c>
      <c r="O15" s="69" t="str">
        <f t="shared" si="1"/>
        <v>12 William Feneley</v>
      </c>
      <c r="P15" s="69">
        <f>2+2+3+3+3</f>
        <v>13</v>
      </c>
      <c r="Q15" s="69">
        <v>44</v>
      </c>
      <c r="R15" s="103"/>
      <c r="S15" s="69">
        <f>Q17</f>
        <v>49</v>
      </c>
      <c r="T15" s="69" t="str">
        <f t="shared" si="2"/>
        <v>16 Gasparini Matteo</v>
      </c>
      <c r="U15" s="69">
        <f>2+2+2+4+2</f>
        <v>12</v>
      </c>
      <c r="V15" s="69">
        <v>100</v>
      </c>
      <c r="W15" s="104"/>
      <c r="X15" s="69">
        <f>V17</f>
        <v>81</v>
      </c>
      <c r="Y15" s="69" t="str">
        <f t="shared" si="3"/>
        <v>18 Luca Ferioli</v>
      </c>
      <c r="Z15" s="69"/>
      <c r="AA15" s="69">
        <v>115</v>
      </c>
      <c r="AB15" s="103"/>
      <c r="AC15" s="103"/>
      <c r="AD15" s="103"/>
      <c r="AE15" s="65"/>
      <c r="AF15" s="69">
        <v>100</v>
      </c>
      <c r="AG15" s="73"/>
    </row>
    <row r="16" spans="1:33">
      <c r="A16" s="98">
        <v>4</v>
      </c>
      <c r="B16" s="98">
        <v>100</v>
      </c>
      <c r="C16" s="57" t="s">
        <v>203</v>
      </c>
      <c r="D16" s="57"/>
      <c r="E16" s="178">
        <v>22.350731644849176</v>
      </c>
      <c r="F16" s="176"/>
      <c r="G16" s="103"/>
      <c r="H16" s="69">
        <v>16</v>
      </c>
      <c r="I16" s="69">
        <f>B28</f>
        <v>2</v>
      </c>
      <c r="J16" s="69" t="str">
        <f t="shared" si="0"/>
        <v>5 Ben Burley</v>
      </c>
      <c r="K16" s="104"/>
      <c r="L16" s="103"/>
      <c r="M16" s="103"/>
      <c r="N16" s="69">
        <f>L19</f>
        <v>18</v>
      </c>
      <c r="O16" s="69" t="str">
        <f t="shared" si="1"/>
        <v>13 Samuel Houston</v>
      </c>
      <c r="P16" s="104"/>
      <c r="Q16" s="104"/>
      <c r="R16" s="103"/>
      <c r="S16" s="69">
        <f>Q19</f>
        <v>100</v>
      </c>
      <c r="T16" s="69" t="str">
        <f t="shared" si="2"/>
        <v>17 Nicolo' Manna</v>
      </c>
      <c r="U16" s="104"/>
      <c r="V16" s="104"/>
      <c r="W16" s="104"/>
      <c r="X16" s="69">
        <f>V19</f>
        <v>115</v>
      </c>
      <c r="Y16" s="69" t="str">
        <f t="shared" si="3"/>
        <v>14 IKUMA HORISHIMA</v>
      </c>
      <c r="Z16" s="104">
        <f>3+3+3+2+3</f>
        <v>14</v>
      </c>
      <c r="AA16" s="103"/>
      <c r="AB16" s="103"/>
      <c r="AC16" s="103"/>
      <c r="AD16" s="103"/>
      <c r="AE16" s="65"/>
      <c r="AF16" s="103"/>
      <c r="AG16" s="73"/>
    </row>
    <row r="17" spans="1:32">
      <c r="A17" s="98">
        <v>5</v>
      </c>
      <c r="B17" s="98">
        <v>49</v>
      </c>
      <c r="C17" s="57" t="s">
        <v>170</v>
      </c>
      <c r="D17" s="57">
        <v>2529840</v>
      </c>
      <c r="E17" s="178">
        <v>22.242605293113265</v>
      </c>
      <c r="F17" s="176">
        <v>6</v>
      </c>
      <c r="G17" s="180" t="s">
        <v>209</v>
      </c>
      <c r="H17" s="68">
        <v>9</v>
      </c>
      <c r="I17" s="68">
        <f>B21</f>
        <v>44</v>
      </c>
      <c r="J17" s="68" t="str">
        <f t="shared" si="0"/>
        <v>12 William Feneley</v>
      </c>
      <c r="K17" s="68"/>
      <c r="L17" s="68">
        <v>44</v>
      </c>
      <c r="M17" s="76"/>
      <c r="N17" s="68">
        <f>L21</f>
        <v>49</v>
      </c>
      <c r="O17" s="68" t="str">
        <f t="shared" si="1"/>
        <v>16 Gasparini Matteo</v>
      </c>
      <c r="P17" s="68"/>
      <c r="Q17" s="68">
        <v>49</v>
      </c>
      <c r="R17" s="76"/>
      <c r="S17" s="68">
        <f>Q21</f>
        <v>81</v>
      </c>
      <c r="T17" s="68" t="str">
        <f t="shared" si="2"/>
        <v>18 Luca Ferioli</v>
      </c>
      <c r="U17" s="68"/>
      <c r="V17" s="68">
        <v>81</v>
      </c>
      <c r="W17" s="76"/>
      <c r="X17" s="76"/>
      <c r="Y17" s="76"/>
      <c r="Z17" s="76"/>
      <c r="AA17" s="76"/>
      <c r="AB17" s="62" t="s">
        <v>98</v>
      </c>
      <c r="AC17" s="58" t="s">
        <v>1</v>
      </c>
      <c r="AD17" s="60" t="s">
        <v>99</v>
      </c>
      <c r="AE17" s="60" t="s">
        <v>100</v>
      </c>
      <c r="AF17" s="58" t="s">
        <v>20</v>
      </c>
    </row>
    <row r="18" spans="1:32">
      <c r="A18" s="98">
        <v>6</v>
      </c>
      <c r="B18" s="98">
        <v>88</v>
      </c>
      <c r="C18" s="57" t="s">
        <v>168</v>
      </c>
      <c r="D18" s="57"/>
      <c r="E18" s="178">
        <v>21.746513944223111</v>
      </c>
      <c r="G18" s="65"/>
      <c r="H18" s="68">
        <v>24</v>
      </c>
      <c r="I18" s="68">
        <f>B36</f>
        <v>0</v>
      </c>
      <c r="J18" s="68" t="str">
        <f t="shared" si="0"/>
        <v>21 0</v>
      </c>
      <c r="K18" s="77"/>
      <c r="L18" s="76"/>
      <c r="M18" s="76"/>
      <c r="N18" s="68">
        <f>L23</f>
        <v>104</v>
      </c>
      <c r="O18" s="68" t="str">
        <f t="shared" si="1"/>
        <v>9 Liam Keyes</v>
      </c>
      <c r="P18" s="77">
        <f>1+1+2+0</f>
        <v>4</v>
      </c>
      <c r="Q18" s="76"/>
      <c r="R18" s="76"/>
      <c r="S18" s="68">
        <f>Q23</f>
        <v>109</v>
      </c>
      <c r="T18" s="68" t="str">
        <f t="shared" si="2"/>
        <v>10 Sam Allen</v>
      </c>
      <c r="U18" s="77">
        <f>2+2+2+2+1</f>
        <v>9</v>
      </c>
      <c r="V18" s="76"/>
      <c r="W18" s="76"/>
      <c r="X18" s="76"/>
      <c r="Y18" s="76"/>
      <c r="Z18" s="76"/>
      <c r="AA18" s="76"/>
      <c r="AB18" s="65"/>
      <c r="AC18" s="68">
        <v>44</v>
      </c>
      <c r="AD18" s="68" t="str">
        <f>RANK(VLOOKUP(AC18,$B$13:$E$44,4,FALSE),$E$13:$E$44,1) &amp; " " &amp; VLOOKUP(AC18,$B$13:$E$44,2,FALSE)</f>
        <v>12 William Feneley</v>
      </c>
      <c r="AE18" s="68">
        <f>2+2+2+2+1</f>
        <v>9</v>
      </c>
      <c r="AF18" s="98">
        <v>81</v>
      </c>
    </row>
    <row r="19" spans="1:32">
      <c r="A19" s="98">
        <v>7</v>
      </c>
      <c r="B19" s="98">
        <v>115</v>
      </c>
      <c r="C19" s="57" t="s">
        <v>118</v>
      </c>
      <c r="D19" s="57">
        <v>2528768</v>
      </c>
      <c r="E19" s="178">
        <v>21.397433409220262</v>
      </c>
      <c r="F19" s="176">
        <v>1</v>
      </c>
      <c r="G19" s="180" t="s">
        <v>129</v>
      </c>
      <c r="H19" s="69">
        <v>8</v>
      </c>
      <c r="I19" s="69">
        <f>B20</f>
        <v>18</v>
      </c>
      <c r="J19" s="69" t="str">
        <f t="shared" si="0"/>
        <v>13 Samuel Houston</v>
      </c>
      <c r="K19" s="69"/>
      <c r="L19" s="69">
        <v>18</v>
      </c>
      <c r="M19" s="103"/>
      <c r="N19" s="69">
        <f>L25</f>
        <v>100</v>
      </c>
      <c r="O19" s="69" t="str">
        <f t="shared" si="1"/>
        <v>17 Nicolo' Manna</v>
      </c>
      <c r="P19" s="69"/>
      <c r="Q19" s="69">
        <v>100</v>
      </c>
      <c r="R19" s="103"/>
      <c r="S19" s="69">
        <f>Q25</f>
        <v>115</v>
      </c>
      <c r="T19" s="69" t="str">
        <f t="shared" si="2"/>
        <v>14 IKUMA HORISHIMA</v>
      </c>
      <c r="U19" s="69">
        <f>4+4+4+3+5</f>
        <v>20</v>
      </c>
      <c r="V19" s="69">
        <v>115</v>
      </c>
      <c r="W19" s="103"/>
      <c r="X19" s="65"/>
      <c r="Y19" s="65"/>
      <c r="Z19" s="65"/>
      <c r="AA19" s="65"/>
      <c r="AB19" s="65"/>
      <c r="AC19" s="68">
        <v>81</v>
      </c>
      <c r="AD19" s="68" t="str">
        <f>RANK(VLOOKUP(AC19,$B$13:$E$44,4,FALSE),$E$13:$E$44,1) &amp; " " &amp; VLOOKUP(AC19,$B$13:$E$44,2,FALSE)</f>
        <v>18 Luca Ferioli</v>
      </c>
      <c r="AE19" s="79"/>
      <c r="AF19" s="58" t="s">
        <v>21</v>
      </c>
    </row>
    <row r="20" spans="1:32">
      <c r="A20" s="98">
        <v>8</v>
      </c>
      <c r="B20" s="98">
        <v>18</v>
      </c>
      <c r="C20" s="57" t="s">
        <v>123</v>
      </c>
      <c r="D20" s="57">
        <v>2531086</v>
      </c>
      <c r="E20" s="178">
        <v>20.135440523619806</v>
      </c>
      <c r="F20" s="177">
        <v>7</v>
      </c>
      <c r="G20" s="180" t="s">
        <v>122</v>
      </c>
      <c r="H20" s="69">
        <v>25</v>
      </c>
      <c r="I20" s="69">
        <f>B37</f>
        <v>0</v>
      </c>
      <c r="J20" s="69" t="str">
        <f t="shared" si="0"/>
        <v>21 0</v>
      </c>
      <c r="K20" s="104"/>
      <c r="L20" s="103"/>
      <c r="M20" s="103"/>
      <c r="N20" s="69">
        <f>L27</f>
        <v>25</v>
      </c>
      <c r="O20" s="69" t="str">
        <f t="shared" si="1"/>
        <v>8 James Rose</v>
      </c>
      <c r="P20" s="104">
        <f>1+1+0+0+0</f>
        <v>2</v>
      </c>
      <c r="Q20" s="103"/>
      <c r="R20" s="103"/>
      <c r="S20" s="69">
        <f>Q27</f>
        <v>97</v>
      </c>
      <c r="T20" s="69" t="str">
        <f t="shared" si="2"/>
        <v>19 Andrew Longley</v>
      </c>
      <c r="U20" s="104"/>
      <c r="V20" s="103"/>
      <c r="W20" s="103"/>
      <c r="X20" s="65"/>
      <c r="Y20" s="65"/>
      <c r="Z20" s="65"/>
      <c r="AA20" s="65"/>
      <c r="AB20" s="65"/>
      <c r="AC20" s="65"/>
      <c r="AD20" s="65"/>
      <c r="AE20" s="65"/>
      <c r="AF20" s="98">
        <v>44</v>
      </c>
    </row>
    <row r="21" spans="1:32">
      <c r="A21" s="98">
        <v>9</v>
      </c>
      <c r="B21" s="98">
        <v>44</v>
      </c>
      <c r="C21" s="57" t="s">
        <v>110</v>
      </c>
      <c r="D21" s="57">
        <v>2531950</v>
      </c>
      <c r="E21" s="178">
        <v>18.068952760387024</v>
      </c>
      <c r="F21" s="176">
        <v>3</v>
      </c>
      <c r="G21" s="180" t="s">
        <v>122</v>
      </c>
      <c r="H21" s="68">
        <v>5</v>
      </c>
      <c r="I21" s="68">
        <f>B17</f>
        <v>49</v>
      </c>
      <c r="J21" s="68" t="str">
        <f t="shared" si="0"/>
        <v>16 Gasparini Matteo</v>
      </c>
      <c r="K21" s="68"/>
      <c r="L21" s="68">
        <v>49</v>
      </c>
      <c r="M21" s="76"/>
      <c r="N21" s="68">
        <f>L29</f>
        <v>81</v>
      </c>
      <c r="O21" s="68" t="str">
        <f t="shared" si="1"/>
        <v>18 Luca Ferioli</v>
      </c>
      <c r="P21" s="68"/>
      <c r="Q21" s="68">
        <v>81</v>
      </c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F21" s="65"/>
    </row>
    <row r="22" spans="1:32">
      <c r="A22" s="98">
        <v>10</v>
      </c>
      <c r="B22" s="98">
        <v>3</v>
      </c>
      <c r="C22" s="57" t="s">
        <v>156</v>
      </c>
      <c r="D22" s="57">
        <v>2532116</v>
      </c>
      <c r="E22" s="178">
        <v>16.318812464427999</v>
      </c>
      <c r="F22" s="177">
        <v>8</v>
      </c>
      <c r="G22" s="180" t="s">
        <v>122</v>
      </c>
      <c r="H22" s="68">
        <v>28</v>
      </c>
      <c r="I22" s="68">
        <f>B40</f>
        <v>0</v>
      </c>
      <c r="J22" s="68" t="str">
        <f t="shared" si="0"/>
        <v>21 0</v>
      </c>
      <c r="K22" s="77"/>
      <c r="L22" s="76"/>
      <c r="M22" s="76"/>
      <c r="N22" s="68">
        <f>L31</f>
        <v>36</v>
      </c>
      <c r="O22" s="68" t="str">
        <f t="shared" si="1"/>
        <v>7 Sam Jones</v>
      </c>
      <c r="P22" s="77">
        <f>1+1+2+1+0</f>
        <v>5</v>
      </c>
      <c r="Q22" s="76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F22" s="65"/>
    </row>
    <row r="23" spans="1:32">
      <c r="A23" s="98">
        <v>11</v>
      </c>
      <c r="B23" s="98">
        <v>109</v>
      </c>
      <c r="C23" s="57" t="s">
        <v>199</v>
      </c>
      <c r="D23" s="57">
        <v>2528447</v>
      </c>
      <c r="E23" s="178">
        <v>15.801494877632329</v>
      </c>
      <c r="F23" s="177">
        <v>9</v>
      </c>
      <c r="G23" s="180" t="s">
        <v>122</v>
      </c>
      <c r="H23" s="69">
        <v>12</v>
      </c>
      <c r="I23" s="69">
        <f>B24</f>
        <v>104</v>
      </c>
      <c r="J23" s="69" t="str">
        <f>RANK(VLOOKUP(I23,$B$13:$E$44,4,FALSE),$E$13:$E$44,1) &amp; " " &amp; VLOOKUP(I23,$B$13:$E$44,2,FALSE)</f>
        <v>9 Liam Keyes</v>
      </c>
      <c r="K23" s="69"/>
      <c r="L23" s="69">
        <v>104</v>
      </c>
      <c r="M23" s="103"/>
      <c r="N23" s="69">
        <f>L33</f>
        <v>88</v>
      </c>
      <c r="O23" s="69" t="str">
        <f t="shared" si="1"/>
        <v>15 Giacomo Papa</v>
      </c>
      <c r="P23" s="69"/>
      <c r="Q23" s="69">
        <v>109</v>
      </c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F23" s="65"/>
    </row>
    <row r="24" spans="1:32">
      <c r="A24" s="98">
        <v>12</v>
      </c>
      <c r="B24" s="98">
        <v>104</v>
      </c>
      <c r="C24" s="57" t="s">
        <v>112</v>
      </c>
      <c r="D24" s="57">
        <v>2530279</v>
      </c>
      <c r="E24" s="178">
        <v>14.660656516789986</v>
      </c>
      <c r="F24" s="177">
        <v>10</v>
      </c>
      <c r="G24" s="180" t="s">
        <v>122</v>
      </c>
      <c r="H24" s="69">
        <v>21</v>
      </c>
      <c r="I24" s="69" t="str">
        <f>B33</f>
        <v xml:space="preserve"> </v>
      </c>
      <c r="J24" s="69" t="str">
        <f t="shared" si="0"/>
        <v xml:space="preserve">21  </v>
      </c>
      <c r="K24" s="104"/>
      <c r="L24" s="103"/>
      <c r="M24" s="103"/>
      <c r="N24" s="69">
        <f>L35</f>
        <v>109</v>
      </c>
      <c r="O24" s="69" t="str">
        <f t="shared" si="1"/>
        <v>10 Sam Allen</v>
      </c>
      <c r="P24" s="104">
        <v>25</v>
      </c>
      <c r="Q24" s="103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F24" s="65"/>
    </row>
    <row r="25" spans="1:32">
      <c r="A25" s="98">
        <v>13</v>
      </c>
      <c r="B25" s="98">
        <v>25</v>
      </c>
      <c r="C25" s="57" t="s">
        <v>130</v>
      </c>
      <c r="D25" s="57"/>
      <c r="E25" s="178">
        <v>14.511084519066591</v>
      </c>
      <c r="G25" s="65"/>
      <c r="H25" s="68">
        <v>4</v>
      </c>
      <c r="I25" s="68">
        <f>B16</f>
        <v>100</v>
      </c>
      <c r="J25" s="68" t="str">
        <f t="shared" si="0"/>
        <v>17 Nicolo' Manna</v>
      </c>
      <c r="K25" s="68"/>
      <c r="L25" s="68">
        <v>100</v>
      </c>
      <c r="M25" s="76"/>
      <c r="N25" s="68">
        <f>L37</f>
        <v>115</v>
      </c>
      <c r="O25" s="68" t="str">
        <f t="shared" si="1"/>
        <v>14 IKUMA HORISHIMA</v>
      </c>
      <c r="P25" s="68">
        <f>4+4+4+4+5</f>
        <v>21</v>
      </c>
      <c r="Q25" s="68">
        <v>115</v>
      </c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F25" s="65"/>
    </row>
    <row r="26" spans="1:32">
      <c r="A26" s="98">
        <v>14</v>
      </c>
      <c r="B26" s="98">
        <v>36</v>
      </c>
      <c r="C26" s="57" t="s">
        <v>188</v>
      </c>
      <c r="D26" s="57"/>
      <c r="E26" s="178">
        <v>12.785382754695506</v>
      </c>
      <c r="G26" s="65"/>
      <c r="H26" s="68">
        <v>29</v>
      </c>
      <c r="I26" s="68">
        <f>B41</f>
        <v>0</v>
      </c>
      <c r="J26" s="68" t="str">
        <f t="shared" si="0"/>
        <v>21 0</v>
      </c>
      <c r="K26" s="77"/>
      <c r="L26" s="76"/>
      <c r="M26" s="76"/>
      <c r="N26" s="68">
        <f>L39</f>
        <v>3</v>
      </c>
      <c r="O26" s="68" t="str">
        <f t="shared" si="1"/>
        <v>11 Thomas Rascagneres</v>
      </c>
      <c r="P26" s="77"/>
      <c r="Q26" s="76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F26" s="65"/>
    </row>
    <row r="27" spans="1:32">
      <c r="A27" s="98">
        <v>15</v>
      </c>
      <c r="B27" s="98">
        <v>17</v>
      </c>
      <c r="C27" s="57" t="s">
        <v>166</v>
      </c>
      <c r="D27" s="57"/>
      <c r="E27" s="178">
        <v>12.091095048377914</v>
      </c>
      <c r="G27" s="65"/>
      <c r="H27" s="69">
        <v>20</v>
      </c>
      <c r="I27" s="69">
        <f>B32</f>
        <v>15</v>
      </c>
      <c r="J27" s="69" t="str">
        <f t="shared" si="0"/>
        <v>1 Floran Verhoeven</v>
      </c>
      <c r="K27" s="69"/>
      <c r="L27" s="69">
        <v>25</v>
      </c>
      <c r="M27" s="103"/>
      <c r="N27" s="69">
        <f>L41</f>
        <v>17</v>
      </c>
      <c r="O27" s="69" t="str">
        <f t="shared" si="1"/>
        <v>6 Linus Ombelli</v>
      </c>
      <c r="P27" s="69">
        <f>1+1+1+0+0</f>
        <v>3</v>
      </c>
      <c r="Q27" s="69">
        <v>97</v>
      </c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F27" s="65"/>
    </row>
    <row r="28" spans="1:32">
      <c r="A28" s="98">
        <v>16</v>
      </c>
      <c r="B28" s="98">
        <v>2</v>
      </c>
      <c r="C28" s="57" t="s">
        <v>191</v>
      </c>
      <c r="D28" s="57"/>
      <c r="E28" s="178">
        <v>9.9391602162777453</v>
      </c>
      <c r="G28" s="65"/>
      <c r="H28" s="69">
        <v>13</v>
      </c>
      <c r="I28" s="69">
        <f>B25</f>
        <v>25</v>
      </c>
      <c r="J28" s="69" t="str">
        <f t="shared" si="0"/>
        <v>8 James Rose</v>
      </c>
      <c r="K28" s="104">
        <f>5+5+5+5+5</f>
        <v>25</v>
      </c>
      <c r="L28" s="104"/>
      <c r="M28" s="103"/>
      <c r="N28" s="69">
        <f>L43</f>
        <v>97</v>
      </c>
      <c r="O28" s="69" t="str">
        <f t="shared" si="1"/>
        <v>19 Andrew Longley</v>
      </c>
      <c r="P28" s="104"/>
      <c r="Q28" s="104"/>
      <c r="R28" s="66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F28" s="65"/>
    </row>
    <row r="29" spans="1:32">
      <c r="A29" s="98">
        <v>17</v>
      </c>
      <c r="B29" s="98">
        <v>95</v>
      </c>
      <c r="C29" s="57" t="s">
        <v>134</v>
      </c>
      <c r="D29" s="57"/>
      <c r="E29" s="178">
        <v>9.5900480933409256</v>
      </c>
      <c r="G29" s="65"/>
      <c r="H29" s="68">
        <v>30</v>
      </c>
      <c r="I29" s="68">
        <f>B42</f>
        <v>0</v>
      </c>
      <c r="J29" s="68" t="str">
        <f t="shared" si="0"/>
        <v>21 0</v>
      </c>
      <c r="K29" s="68"/>
      <c r="L29" s="68">
        <v>81</v>
      </c>
      <c r="M29" s="66"/>
      <c r="N29" s="66"/>
      <c r="O29" s="66"/>
      <c r="P29" s="66"/>
      <c r="Q29" s="66"/>
      <c r="R29" s="66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F29" s="65"/>
    </row>
    <row r="30" spans="1:32">
      <c r="A30" s="98">
        <v>18</v>
      </c>
      <c r="B30" s="98">
        <v>43</v>
      </c>
      <c r="C30" s="57" t="s">
        <v>163</v>
      </c>
      <c r="D30" s="57"/>
      <c r="E30" s="178">
        <v>9.5740284575981782</v>
      </c>
      <c r="G30" s="65"/>
      <c r="H30" s="68">
        <v>3</v>
      </c>
      <c r="I30" s="68">
        <f>B15</f>
        <v>81</v>
      </c>
      <c r="J30" s="68" t="str">
        <f t="shared" si="0"/>
        <v>18 Luca Ferioli</v>
      </c>
      <c r="K30" s="77"/>
      <c r="L30" s="77"/>
      <c r="M30" s="66"/>
      <c r="N30" s="66"/>
      <c r="O30" s="66"/>
      <c r="P30" s="66"/>
      <c r="Q30" s="66"/>
      <c r="R30" s="66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F30" s="65"/>
    </row>
    <row r="31" spans="1:32">
      <c r="A31" s="98">
        <v>19</v>
      </c>
      <c r="B31" s="98">
        <v>84</v>
      </c>
      <c r="C31" s="57" t="s">
        <v>194</v>
      </c>
      <c r="D31" s="57"/>
      <c r="E31" s="178">
        <v>9.5189356858281187</v>
      </c>
      <c r="G31" s="65"/>
      <c r="H31" s="69">
        <v>19</v>
      </c>
      <c r="I31" s="69">
        <f>B31</f>
        <v>84</v>
      </c>
      <c r="J31" s="69" t="str">
        <f t="shared" si="0"/>
        <v>2 Sam Burley</v>
      </c>
      <c r="K31" s="69">
        <f>3+3+1+0+1</f>
        <v>8</v>
      </c>
      <c r="L31" s="69">
        <v>36</v>
      </c>
      <c r="M31" s="65"/>
      <c r="N31" s="66"/>
      <c r="O31" s="66"/>
      <c r="P31" s="66"/>
      <c r="Q31" s="66"/>
      <c r="R31" s="66"/>
      <c r="S31" s="65"/>
      <c r="T31" s="65"/>
      <c r="U31" s="65"/>
      <c r="V31" s="65"/>
      <c r="W31" s="65"/>
      <c r="X31" s="105"/>
      <c r="Y31" s="105"/>
      <c r="Z31" s="105"/>
      <c r="AA31" s="65"/>
      <c r="AB31" s="65"/>
      <c r="AC31" s="65"/>
      <c r="AD31" s="65"/>
      <c r="AF31" s="65"/>
    </row>
    <row r="32" spans="1:32">
      <c r="A32" s="98">
        <v>20</v>
      </c>
      <c r="B32" s="98">
        <v>15</v>
      </c>
      <c r="C32" s="57" t="s">
        <v>237</v>
      </c>
      <c r="D32" s="57"/>
      <c r="E32" s="178">
        <v>7.009949630051227</v>
      </c>
      <c r="G32" s="65"/>
      <c r="H32" s="69">
        <v>14</v>
      </c>
      <c r="I32" s="69">
        <f>B26</f>
        <v>36</v>
      </c>
      <c r="J32" s="69" t="str">
        <f t="shared" si="0"/>
        <v>7 Sam Jones</v>
      </c>
      <c r="K32" s="104"/>
      <c r="L32" s="104"/>
      <c r="M32" s="65"/>
      <c r="N32" s="66"/>
      <c r="O32" s="66"/>
      <c r="P32" s="66"/>
      <c r="Q32" s="66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F32" s="65"/>
    </row>
    <row r="33" spans="1:32">
      <c r="A33" s="98">
        <v>21</v>
      </c>
      <c r="B33" s="98" t="s">
        <v>305</v>
      </c>
      <c r="C33" s="57" t="s">
        <v>305</v>
      </c>
      <c r="D33" s="57"/>
      <c r="E33" s="98">
        <f>[1]CrossTimedRuns!L33</f>
        <v>9999</v>
      </c>
      <c r="G33" s="65"/>
      <c r="H33" s="68">
        <v>27</v>
      </c>
      <c r="I33" s="68">
        <f>B39</f>
        <v>0</v>
      </c>
      <c r="J33" s="68" t="str">
        <f t="shared" si="0"/>
        <v>21 0</v>
      </c>
      <c r="K33" s="68"/>
      <c r="L33" s="68">
        <v>88</v>
      </c>
      <c r="M33" s="65"/>
      <c r="N33" s="66"/>
      <c r="O33" s="66"/>
      <c r="P33" s="66"/>
      <c r="Q33" s="66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F33" s="65"/>
    </row>
    <row r="34" spans="1:32">
      <c r="A34" s="98">
        <v>22</v>
      </c>
      <c r="B34" s="98">
        <f>[1]CrossTimedRuns!B34</f>
        <v>0</v>
      </c>
      <c r="C34" s="57">
        <f>[1]CrossTimedRuns!C34</f>
        <v>0</v>
      </c>
      <c r="D34" s="57">
        <f>[1]CrossTimedRuns!D34</f>
        <v>0</v>
      </c>
      <c r="E34" s="98">
        <f>[1]CrossTimedRuns!L34</f>
        <v>9999</v>
      </c>
      <c r="G34" s="65"/>
      <c r="H34" s="68">
        <v>6</v>
      </c>
      <c r="I34" s="68">
        <f>B18</f>
        <v>88</v>
      </c>
      <c r="J34" s="68" t="str">
        <f t="shared" si="0"/>
        <v>15 Giacomo Papa</v>
      </c>
      <c r="K34" s="77"/>
      <c r="L34" s="77"/>
      <c r="M34" s="65"/>
      <c r="N34" s="66"/>
      <c r="O34" s="66"/>
      <c r="P34" s="66"/>
      <c r="Q34" s="66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F34" s="65"/>
    </row>
    <row r="35" spans="1:32">
      <c r="A35" s="98">
        <v>23</v>
      </c>
      <c r="B35" s="98">
        <f>[1]CrossTimedRuns!B35</f>
        <v>0</v>
      </c>
      <c r="C35" s="57">
        <f>[1]CrossTimedRuns!C35</f>
        <v>0</v>
      </c>
      <c r="D35" s="57">
        <f>[1]CrossTimedRuns!D35</f>
        <v>0</v>
      </c>
      <c r="E35" s="98">
        <f>[1]CrossTimedRuns!L35</f>
        <v>9999</v>
      </c>
      <c r="G35" s="65"/>
      <c r="H35" s="69">
        <v>22</v>
      </c>
      <c r="I35" s="69">
        <f>B34</f>
        <v>0</v>
      </c>
      <c r="J35" s="69" t="str">
        <f t="shared" si="0"/>
        <v>21 0</v>
      </c>
      <c r="K35" s="69"/>
      <c r="L35" s="69">
        <v>109</v>
      </c>
      <c r="M35" s="65"/>
      <c r="N35" s="66"/>
      <c r="O35" s="66"/>
      <c r="P35" s="66"/>
      <c r="Q35" s="66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F35" s="65"/>
    </row>
    <row r="36" spans="1:32">
      <c r="A36" s="98">
        <v>24</v>
      </c>
      <c r="B36" s="98">
        <f>[1]CrossTimedRuns!B36</f>
        <v>0</v>
      </c>
      <c r="C36" s="57">
        <f>[1]CrossTimedRuns!C36</f>
        <v>0</v>
      </c>
      <c r="D36" s="57">
        <f>[1]CrossTimedRuns!D36</f>
        <v>0</v>
      </c>
      <c r="E36" s="98">
        <f>[1]CrossTimedRuns!L36</f>
        <v>9999</v>
      </c>
      <c r="G36" s="65"/>
      <c r="H36" s="69">
        <v>11</v>
      </c>
      <c r="I36" s="69">
        <f>B23</f>
        <v>109</v>
      </c>
      <c r="J36" s="69" t="str">
        <f t="shared" si="0"/>
        <v>10 Sam Allen</v>
      </c>
      <c r="K36" s="104"/>
      <c r="L36" s="104"/>
      <c r="M36" s="65"/>
      <c r="N36" s="66"/>
      <c r="O36" s="66"/>
      <c r="P36" s="66"/>
      <c r="Q36" s="66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F36" s="65"/>
    </row>
    <row r="37" spans="1:32">
      <c r="A37" s="98">
        <v>25</v>
      </c>
      <c r="B37" s="98">
        <f>[1]CrossTimedRuns!B37</f>
        <v>0</v>
      </c>
      <c r="C37" s="57">
        <f>[1]CrossTimedRuns!C37</f>
        <v>0</v>
      </c>
      <c r="D37" s="57">
        <f>[1]CrossTimedRuns!D37</f>
        <v>0</v>
      </c>
      <c r="E37" s="98">
        <f>[1]CrossTimedRuns!L37</f>
        <v>9999</v>
      </c>
      <c r="G37" s="65"/>
      <c r="H37" s="68">
        <v>26</v>
      </c>
      <c r="I37" s="68">
        <f>B38</f>
        <v>0</v>
      </c>
      <c r="J37" s="68" t="str">
        <f t="shared" si="0"/>
        <v>21 0</v>
      </c>
      <c r="K37" s="68"/>
      <c r="L37" s="68">
        <v>115</v>
      </c>
      <c r="M37" s="65"/>
      <c r="N37" s="66"/>
      <c r="O37" s="66"/>
      <c r="P37" s="66"/>
      <c r="Q37" s="66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F37" s="65"/>
    </row>
    <row r="38" spans="1:32">
      <c r="A38" s="98">
        <v>26</v>
      </c>
      <c r="B38" s="98">
        <f>[1]CrossTimedRuns!B38</f>
        <v>0</v>
      </c>
      <c r="C38" s="57">
        <f>[1]CrossTimedRuns!C38</f>
        <v>0</v>
      </c>
      <c r="D38" s="57">
        <f>[1]CrossTimedRuns!D38</f>
        <v>0</v>
      </c>
      <c r="E38" s="98">
        <f>[1]CrossTimedRuns!L38</f>
        <v>9999</v>
      </c>
      <c r="G38" s="65"/>
      <c r="H38" s="68">
        <v>7</v>
      </c>
      <c r="I38" s="68">
        <f>B19</f>
        <v>115</v>
      </c>
      <c r="J38" s="68" t="str">
        <f t="shared" si="0"/>
        <v>14 IKUMA HORISHIMA</v>
      </c>
      <c r="K38" s="77"/>
      <c r="L38" s="77"/>
      <c r="M38" s="65"/>
      <c r="N38" s="66"/>
      <c r="O38" s="66"/>
      <c r="P38" s="66"/>
      <c r="Q38" s="66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F38" s="65"/>
    </row>
    <row r="39" spans="1:32">
      <c r="A39" s="98">
        <v>27</v>
      </c>
      <c r="B39" s="98">
        <f>[1]CrossTimedRuns!B39</f>
        <v>0</v>
      </c>
      <c r="C39" s="57">
        <f>[1]CrossTimedRuns!C39</f>
        <v>0</v>
      </c>
      <c r="D39" s="57">
        <f>[1]CrossTimedRuns!D39</f>
        <v>0</v>
      </c>
      <c r="E39" s="98">
        <f>[1]CrossTimedRuns!L39</f>
        <v>9999</v>
      </c>
      <c r="G39" s="65"/>
      <c r="H39" s="69">
        <v>23</v>
      </c>
      <c r="I39" s="69">
        <f>B35</f>
        <v>0</v>
      </c>
      <c r="J39" s="69" t="str">
        <f t="shared" si="0"/>
        <v>21 0</v>
      </c>
      <c r="K39" s="69"/>
      <c r="L39" s="69">
        <v>3</v>
      </c>
      <c r="M39" s="65"/>
      <c r="N39" s="66"/>
      <c r="O39" s="66"/>
      <c r="P39" s="66"/>
      <c r="Q39" s="66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F39" s="65"/>
    </row>
    <row r="40" spans="1:32">
      <c r="A40" s="98">
        <v>28</v>
      </c>
      <c r="B40" s="98">
        <f>[1]CrossTimedRuns!B40</f>
        <v>0</v>
      </c>
      <c r="C40" s="57">
        <f>[1]CrossTimedRuns!C40</f>
        <v>0</v>
      </c>
      <c r="D40" s="57">
        <f>[1]CrossTimedRuns!D40</f>
        <v>0</v>
      </c>
      <c r="E40" s="98">
        <f>[1]CrossTimedRuns!L40</f>
        <v>9999</v>
      </c>
      <c r="G40" s="65"/>
      <c r="H40" s="69">
        <v>10</v>
      </c>
      <c r="I40" s="69">
        <f>B22</f>
        <v>3</v>
      </c>
      <c r="J40" s="69" t="str">
        <f t="shared" si="0"/>
        <v>11 Thomas Rascagneres</v>
      </c>
      <c r="K40" s="104"/>
      <c r="L40" s="104"/>
      <c r="M40" s="65"/>
      <c r="N40" s="66"/>
      <c r="O40" s="66"/>
      <c r="P40" s="66"/>
      <c r="Q40" s="66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F40" s="65"/>
    </row>
    <row r="41" spans="1:32">
      <c r="A41" s="98">
        <v>29</v>
      </c>
      <c r="B41" s="98">
        <f>[1]CrossTimedRuns!B41</f>
        <v>0</v>
      </c>
      <c r="C41" s="57">
        <f>[1]CrossTimedRuns!C41</f>
        <v>0</v>
      </c>
      <c r="D41" s="57">
        <f>[1]CrossTimedRuns!D41</f>
        <v>0</v>
      </c>
      <c r="E41" s="98">
        <f>[1]CrossTimedRuns!L41</f>
        <v>9999</v>
      </c>
      <c r="G41" s="65"/>
      <c r="H41" s="68">
        <v>18</v>
      </c>
      <c r="I41" s="68">
        <f>B30</f>
        <v>43</v>
      </c>
      <c r="J41" s="68" t="str">
        <f t="shared" si="0"/>
        <v>3 Emanuele Pini</v>
      </c>
      <c r="K41" s="68">
        <f>2+2+2+2+1</f>
        <v>9</v>
      </c>
      <c r="L41" s="68">
        <v>17</v>
      </c>
      <c r="M41" s="65"/>
      <c r="N41" s="66"/>
      <c r="O41" s="66"/>
      <c r="P41" s="66"/>
      <c r="Q41" s="66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F41" s="65"/>
    </row>
    <row r="42" spans="1:32">
      <c r="A42" s="98">
        <v>30</v>
      </c>
      <c r="B42" s="98">
        <f>[1]CrossTimedRuns!B42</f>
        <v>0</v>
      </c>
      <c r="C42" s="57">
        <f>[1]CrossTimedRuns!C42</f>
        <v>0</v>
      </c>
      <c r="D42" s="57">
        <f>[1]CrossTimedRuns!D42</f>
        <v>0</v>
      </c>
      <c r="E42" s="98">
        <f>[1]CrossTimedRuns!L42</f>
        <v>9999</v>
      </c>
      <c r="G42" s="65"/>
      <c r="H42" s="68">
        <v>15</v>
      </c>
      <c r="I42" s="68">
        <f>B27</f>
        <v>17</v>
      </c>
      <c r="J42" s="68" t="str">
        <f t="shared" si="0"/>
        <v>6 Linus Ombelli</v>
      </c>
      <c r="K42" s="77"/>
      <c r="L42" s="77"/>
      <c r="M42" s="65"/>
      <c r="N42" s="66"/>
      <c r="O42" s="66"/>
      <c r="P42" s="66"/>
      <c r="Q42" s="66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F42" s="65"/>
    </row>
    <row r="43" spans="1:32">
      <c r="A43" s="98">
        <v>31</v>
      </c>
      <c r="B43" s="98">
        <f>[1]CrossTimedRuns!B43</f>
        <v>0</v>
      </c>
      <c r="C43" s="57">
        <f>[1]CrossTimedRuns!C43</f>
        <v>0</v>
      </c>
      <c r="D43" s="57">
        <f>[1]CrossTimedRuns!D43</f>
        <v>0</v>
      </c>
      <c r="E43" s="98">
        <f>[1]CrossTimedRuns!L43</f>
        <v>9999</v>
      </c>
      <c r="G43" s="65"/>
      <c r="H43" s="69">
        <v>31</v>
      </c>
      <c r="I43" s="69">
        <f>B43</f>
        <v>0</v>
      </c>
      <c r="J43" s="69" t="str">
        <f t="shared" si="0"/>
        <v>21 0</v>
      </c>
      <c r="K43" s="69"/>
      <c r="L43" s="69">
        <v>97</v>
      </c>
      <c r="M43" s="65"/>
      <c r="N43" s="66"/>
      <c r="O43" s="66"/>
      <c r="P43" s="66"/>
      <c r="Q43" s="66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F43" s="65"/>
    </row>
    <row r="44" spans="1:32">
      <c r="A44" s="98">
        <v>32</v>
      </c>
      <c r="B44" s="98">
        <f>[1]CrossTimedRuns!B44</f>
        <v>0</v>
      </c>
      <c r="C44" s="57">
        <f>[1]CrossTimedRuns!C44</f>
        <v>0</v>
      </c>
      <c r="D44" s="57">
        <f>[1]CrossTimedRuns!D44</f>
        <v>0</v>
      </c>
      <c r="E44" s="98">
        <f>[1]CrossTimedRuns!L44</f>
        <v>9999</v>
      </c>
      <c r="G44" s="65"/>
      <c r="H44" s="69">
        <v>2</v>
      </c>
      <c r="I44" s="69">
        <f>B14</f>
        <v>97</v>
      </c>
      <c r="J44" s="69" t="str">
        <f t="shared" si="0"/>
        <v>19 Andrew Longley</v>
      </c>
      <c r="K44" s="104"/>
      <c r="L44" s="104"/>
      <c r="M44" s="65"/>
      <c r="N44" s="66"/>
      <c r="O44" s="66"/>
      <c r="P44" s="66"/>
      <c r="Q44" s="66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F44" s="65"/>
    </row>
  </sheetData>
  <mergeCells count="13">
    <mergeCell ref="A1:I1"/>
    <mergeCell ref="A2:I2"/>
    <mergeCell ref="A5:B5"/>
    <mergeCell ref="C5:F5"/>
    <mergeCell ref="A6:B6"/>
    <mergeCell ref="C6:F6"/>
    <mergeCell ref="A11:L11"/>
    <mergeCell ref="A7:B7"/>
    <mergeCell ref="C7:F7"/>
    <mergeCell ref="A8:B8"/>
    <mergeCell ref="C8:F8"/>
    <mergeCell ref="A9:B9"/>
    <mergeCell ref="C9:F9"/>
  </mergeCells>
  <pageMargins left="0.7" right="0.7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B28"/>
  <sheetViews>
    <sheetView tabSelected="1" workbookViewId="0">
      <selection activeCell="F12" sqref="F12"/>
    </sheetView>
  </sheetViews>
  <sheetFormatPr defaultRowHeight="13.2"/>
  <cols>
    <col min="1" max="1" width="14.6640625" customWidth="1"/>
    <col min="2" max="2" width="6.44140625" customWidth="1"/>
    <col min="3" max="3" width="20.5546875" customWidth="1"/>
    <col min="4" max="4" width="12" customWidth="1"/>
    <col min="8" max="8" width="14" customWidth="1"/>
    <col min="10" max="10" width="22.33203125" customWidth="1"/>
    <col min="12" max="12" width="10.33203125" customWidth="1"/>
    <col min="15" max="15" width="24.109375" customWidth="1"/>
    <col min="17" max="17" width="9.44140625" customWidth="1"/>
    <col min="18" max="18" width="10.109375" customWidth="1"/>
    <col min="20" max="20" width="18.88671875" customWidth="1"/>
    <col min="22" max="22" width="10.44140625" customWidth="1"/>
    <col min="25" max="25" width="29.33203125" customWidth="1"/>
    <col min="27" max="27" width="10.109375" customWidth="1"/>
  </cols>
  <sheetData>
    <row r="1" spans="1:28" ht="24.6">
      <c r="A1" s="159" t="s">
        <v>259</v>
      </c>
      <c r="B1" s="159"/>
      <c r="C1" s="159"/>
      <c r="D1" s="159"/>
      <c r="E1" s="159"/>
      <c r="F1" s="159"/>
      <c r="G1" s="159"/>
      <c r="H1" s="159"/>
      <c r="I1" s="159"/>
    </row>
    <row r="2" spans="1:28" ht="17.399999999999999">
      <c r="A2" s="160"/>
      <c r="B2" s="160"/>
      <c r="C2" s="160"/>
      <c r="D2" s="160"/>
      <c r="E2" s="160"/>
      <c r="F2" s="160"/>
      <c r="G2" s="160"/>
      <c r="H2" s="160"/>
      <c r="I2" s="160"/>
    </row>
    <row r="3" spans="1:28">
      <c r="A3" s="7"/>
      <c r="B3" s="1"/>
      <c r="C3" s="1"/>
      <c r="D3" s="1"/>
      <c r="E3" s="1"/>
      <c r="F3" s="1"/>
      <c r="G3" s="1"/>
      <c r="H3" s="1"/>
      <c r="I3" s="1"/>
      <c r="J3" s="1" t="s">
        <v>299</v>
      </c>
      <c r="K3" s="1" t="s">
        <v>219</v>
      </c>
      <c r="M3" t="s">
        <v>216</v>
      </c>
      <c r="N3" t="s">
        <v>224</v>
      </c>
    </row>
    <row r="4" spans="1:28" ht="13.8" thickBot="1">
      <c r="A4" s="7"/>
      <c r="B4" s="1"/>
      <c r="C4" s="1"/>
      <c r="D4" s="1"/>
      <c r="E4" s="1"/>
      <c r="F4" s="1"/>
      <c r="G4" s="1"/>
      <c r="H4" s="1"/>
      <c r="I4" s="1"/>
      <c r="J4" s="1" t="s">
        <v>300</v>
      </c>
      <c r="K4" s="1" t="s">
        <v>221</v>
      </c>
      <c r="M4" t="s">
        <v>217</v>
      </c>
      <c r="N4" s="141" t="s">
        <v>222</v>
      </c>
      <c r="O4" s="71"/>
    </row>
    <row r="5" spans="1:28">
      <c r="A5" s="161" t="s">
        <v>6</v>
      </c>
      <c r="B5" s="162"/>
      <c r="C5" s="163" t="s">
        <v>255</v>
      </c>
      <c r="D5" s="164"/>
      <c r="E5" s="164"/>
      <c r="F5" s="165"/>
      <c r="G5" s="1"/>
      <c r="H5" s="1"/>
      <c r="I5" s="36"/>
      <c r="J5" s="1" t="s">
        <v>301</v>
      </c>
      <c r="K5" s="1" t="s">
        <v>223</v>
      </c>
    </row>
    <row r="6" spans="1:28">
      <c r="A6" s="149" t="s">
        <v>7</v>
      </c>
      <c r="B6" s="150"/>
      <c r="C6" s="151" t="s">
        <v>258</v>
      </c>
      <c r="D6" s="152"/>
      <c r="E6" s="152"/>
      <c r="F6" s="153"/>
      <c r="G6" s="1"/>
      <c r="H6" s="1"/>
      <c r="I6" s="1"/>
      <c r="J6" s="1" t="s">
        <v>303</v>
      </c>
      <c r="K6" s="1" t="s">
        <v>308</v>
      </c>
      <c r="M6" t="s">
        <v>225</v>
      </c>
      <c r="N6" t="s">
        <v>226</v>
      </c>
    </row>
    <row r="7" spans="1:28">
      <c r="A7" s="149" t="s">
        <v>8</v>
      </c>
      <c r="B7" s="150"/>
      <c r="C7" s="151" t="s">
        <v>311</v>
      </c>
      <c r="D7" s="152"/>
      <c r="E7" s="152"/>
      <c r="F7" s="153"/>
      <c r="G7" s="1"/>
      <c r="H7" s="1"/>
      <c r="I7" s="1"/>
      <c r="J7" s="1" t="s">
        <v>302</v>
      </c>
      <c r="K7" s="1" t="s">
        <v>222</v>
      </c>
    </row>
    <row r="8" spans="1:28">
      <c r="A8" s="149" t="s">
        <v>9</v>
      </c>
      <c r="B8" s="150"/>
      <c r="C8" s="151" t="s">
        <v>104</v>
      </c>
      <c r="D8" s="152"/>
      <c r="E8" s="152"/>
      <c r="F8" s="153"/>
      <c r="G8" s="1"/>
      <c r="H8" s="1"/>
      <c r="I8" s="1"/>
      <c r="J8" s="1"/>
      <c r="K8" s="1"/>
    </row>
    <row r="9" spans="1:28" ht="13.8" thickBot="1">
      <c r="A9" s="154" t="s">
        <v>10</v>
      </c>
      <c r="B9" s="155"/>
      <c r="C9" s="156" t="s">
        <v>307</v>
      </c>
      <c r="D9" s="157"/>
      <c r="E9" s="157"/>
      <c r="F9" s="158"/>
      <c r="G9" s="1"/>
      <c r="H9" s="1"/>
      <c r="I9" s="1"/>
      <c r="J9" s="75" t="s">
        <v>306</v>
      </c>
      <c r="K9" s="75"/>
    </row>
    <row r="10" spans="1:28">
      <c r="A10" s="7"/>
      <c r="B10" s="1"/>
      <c r="C10" s="1"/>
      <c r="D10" s="1"/>
      <c r="E10" s="1"/>
      <c r="F10" s="1"/>
      <c r="G10" s="1"/>
      <c r="H10" s="1"/>
      <c r="I10" s="1"/>
    </row>
    <row r="11" spans="1:28">
      <c r="A11" s="172" t="s">
        <v>310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N11" s="37"/>
    </row>
    <row r="12" spans="1:28">
      <c r="A12" s="60" t="s">
        <v>91</v>
      </c>
      <c r="B12" s="60" t="s">
        <v>1</v>
      </c>
      <c r="C12" s="60" t="s">
        <v>111</v>
      </c>
      <c r="D12" s="60" t="s">
        <v>238</v>
      </c>
      <c r="E12" s="60" t="s">
        <v>92</v>
      </c>
      <c r="F12" s="179" t="s">
        <v>317</v>
      </c>
      <c r="G12" s="60" t="s">
        <v>318</v>
      </c>
      <c r="H12" s="60" t="s">
        <v>91</v>
      </c>
      <c r="I12" s="60" t="s">
        <v>1</v>
      </c>
      <c r="J12" s="60" t="s">
        <v>99</v>
      </c>
      <c r="K12" s="60" t="s">
        <v>100</v>
      </c>
      <c r="L12" s="60" t="s">
        <v>94</v>
      </c>
      <c r="M12" s="62" t="s">
        <v>95</v>
      </c>
      <c r="N12" s="61" t="s">
        <v>1</v>
      </c>
      <c r="O12" s="61" t="s">
        <v>99</v>
      </c>
      <c r="P12" s="60" t="s">
        <v>100</v>
      </c>
      <c r="Q12" s="61" t="s">
        <v>94</v>
      </c>
      <c r="R12" s="61" t="s">
        <v>96</v>
      </c>
      <c r="S12" s="61" t="s">
        <v>1</v>
      </c>
      <c r="T12" s="61" t="s">
        <v>99</v>
      </c>
      <c r="U12" s="60" t="s">
        <v>100</v>
      </c>
      <c r="V12" s="61" t="s">
        <v>94</v>
      </c>
      <c r="W12" s="63" t="s">
        <v>97</v>
      </c>
      <c r="X12" s="61" t="s">
        <v>1</v>
      </c>
      <c r="Y12" s="61" t="s">
        <v>99</v>
      </c>
      <c r="Z12" s="60" t="s">
        <v>100</v>
      </c>
      <c r="AA12" s="61" t="s">
        <v>18</v>
      </c>
      <c r="AB12" s="65"/>
    </row>
    <row r="13" spans="1:28">
      <c r="A13" s="98">
        <v>1</v>
      </c>
      <c r="B13" s="98">
        <v>38</v>
      </c>
      <c r="C13" s="57" t="s">
        <v>179</v>
      </c>
      <c r="D13" s="57">
        <v>2530095</v>
      </c>
      <c r="E13" s="178">
        <v>23.421999999999997</v>
      </c>
      <c r="F13">
        <v>1</v>
      </c>
      <c r="G13" s="141" t="s">
        <v>239</v>
      </c>
      <c r="H13" s="69">
        <v>1</v>
      </c>
      <c r="I13" s="69">
        <f>B13</f>
        <v>38</v>
      </c>
      <c r="J13" s="69" t="str">
        <f>RANK(VLOOKUP(I13,$B$13:$E$28,4,FALSE),$E$13:$E$28,0) &amp; " " &amp; VLOOKUP(I13,$B$13:$E$28,2,FALSE)</f>
        <v>1 Meilinger Melanie</v>
      </c>
      <c r="K13" s="69"/>
      <c r="L13" s="98">
        <v>38</v>
      </c>
      <c r="N13" s="69">
        <f>L13</f>
        <v>38</v>
      </c>
      <c r="O13" s="69" t="str">
        <f>RANK(VLOOKUP(N13,$B$13:$E$28,4,FALSE),$E$13:$E$28,0) &amp; " " &amp; VLOOKUP(N13,$B$13:$E$28,2,FALSE)</f>
        <v>1 Meilinger Melanie</v>
      </c>
      <c r="P13" s="69"/>
      <c r="Q13" s="98">
        <v>38</v>
      </c>
      <c r="R13" s="37"/>
      <c r="S13" s="69">
        <f>Q13</f>
        <v>38</v>
      </c>
      <c r="T13" s="70" t="str">
        <f>RANK(VLOOKUP(S13,$B$13:$E$28,4,FALSE),$E$13:$E$28,0) &amp; " " &amp; VLOOKUP(S13,$B$13:$E$28,2,FALSE)</f>
        <v>1 Meilinger Melanie</v>
      </c>
      <c r="U13" s="70"/>
      <c r="V13" s="98">
        <v>38</v>
      </c>
      <c r="X13" s="69">
        <f>V13</f>
        <v>38</v>
      </c>
      <c r="Y13" s="69" t="str">
        <f>RANK(VLOOKUP(X13,$B$13:$E$28,4,FALSE),$E$13:$E$28,0) &amp; " " &amp; VLOOKUP(X13,$B$13:$E$28,2,FALSE)</f>
        <v>1 Meilinger Melanie</v>
      </c>
      <c r="Z13" s="69"/>
      <c r="AA13" s="98">
        <v>38</v>
      </c>
      <c r="AB13" s="65"/>
    </row>
    <row r="14" spans="1:28">
      <c r="A14" s="98">
        <v>2</v>
      </c>
      <c r="B14" s="98">
        <v>134</v>
      </c>
      <c r="C14" s="57" t="s">
        <v>236</v>
      </c>
      <c r="D14" s="57">
        <v>2528719</v>
      </c>
      <c r="E14" s="178">
        <v>22.774058898847631</v>
      </c>
      <c r="F14">
        <v>2</v>
      </c>
      <c r="G14" s="141" t="s">
        <v>240</v>
      </c>
      <c r="H14" s="69">
        <v>16</v>
      </c>
      <c r="I14" s="69" t="str">
        <f>B28</f>
        <v xml:space="preserve"> </v>
      </c>
      <c r="J14" s="69" t="e">
        <f>RANK(VLOOKUP(I14,$B$13:$E$28,4,FALSE),$E$13:$E$28,0) &amp; " " &amp; VLOOKUP(I14,$B$13:$E$28,2,FALSE)</f>
        <v>#VALUE!</v>
      </c>
      <c r="K14" s="69"/>
      <c r="L14" s="65"/>
      <c r="N14" s="69">
        <f>L15</f>
        <v>93</v>
      </c>
      <c r="O14" s="69" t="str">
        <f t="shared" ref="O14:O20" si="0">RANK(VLOOKUP(N14,$B$13:$E$28,4,FALSE),$E$13:$E$28,0) &amp; " " &amp; VLOOKUP(N14,$B$13:$E$28,2,FALSE)</f>
        <v>8 Claudia Grassi</v>
      </c>
      <c r="P14" s="69">
        <f>1+2+1+2+0</f>
        <v>6</v>
      </c>
      <c r="Q14" s="66"/>
      <c r="R14" s="37"/>
      <c r="S14" s="69">
        <f>Q15</f>
        <v>113</v>
      </c>
      <c r="T14" s="70" t="str">
        <f t="shared" ref="T14:T16" si="1">RANK(VLOOKUP(S14,$B$13:$E$28,4,FALSE),$E$13:$E$28,0) &amp; " " &amp; VLOOKUP(S14,$B$13:$E$28,2,FALSE)</f>
        <v>4 Robin Lammers</v>
      </c>
      <c r="U14" s="70">
        <f>1+2+2+3+2</f>
        <v>10</v>
      </c>
      <c r="V14" s="65"/>
      <c r="X14" s="69">
        <f>V15</f>
        <v>134</v>
      </c>
      <c r="Y14" s="69" t="str">
        <f>RANK(VLOOKUP(X14,$B$13:$E$28,4,FALSE),$E$13:$E$28,0) &amp; " " &amp; VLOOKUP(X14,$B$13:$E$28,2,FALSE)</f>
        <v>2 Demi Corstjens</v>
      </c>
      <c r="Z14" s="78">
        <f>2+2+2+1+1</f>
        <v>8</v>
      </c>
      <c r="AA14" s="58" t="s">
        <v>19</v>
      </c>
      <c r="AB14" s="65"/>
    </row>
    <row r="15" spans="1:28">
      <c r="A15" s="98">
        <v>3</v>
      </c>
      <c r="B15" s="98">
        <v>21</v>
      </c>
      <c r="C15" s="57" t="s">
        <v>182</v>
      </c>
      <c r="D15" s="57">
        <v>2530097</v>
      </c>
      <c r="E15" s="178">
        <v>20.903665813060179</v>
      </c>
      <c r="F15">
        <v>3</v>
      </c>
      <c r="G15" s="141" t="s">
        <v>239</v>
      </c>
      <c r="H15" s="68">
        <v>9</v>
      </c>
      <c r="I15" s="68">
        <f>B21</f>
        <v>99</v>
      </c>
      <c r="J15" s="68" t="str">
        <f t="shared" ref="J15:J28" si="2">RANK(VLOOKUP(I15,$B$13:$E$28,4,FALSE),$E$13:$E$28,0) &amp; " " &amp; VLOOKUP(I15,$B$13:$E$28,2,FALSE)</f>
        <v>9 Francesca Lee</v>
      </c>
      <c r="K15" s="68"/>
      <c r="L15" s="68">
        <v>93</v>
      </c>
      <c r="N15" s="68">
        <f>L17</f>
        <v>87</v>
      </c>
      <c r="O15" s="68" t="str">
        <f t="shared" si="0"/>
        <v>5 Thea Fenwick</v>
      </c>
      <c r="P15" s="68"/>
      <c r="Q15" s="68">
        <v>113</v>
      </c>
      <c r="R15" s="37"/>
      <c r="S15" s="68">
        <f>Q17</f>
        <v>21</v>
      </c>
      <c r="T15" s="72" t="str">
        <f t="shared" si="1"/>
        <v>3 Ramsauer Katharina</v>
      </c>
      <c r="U15" s="72"/>
      <c r="V15" s="68">
        <v>134</v>
      </c>
      <c r="X15" s="65"/>
      <c r="Y15" s="65"/>
      <c r="Z15" s="65"/>
      <c r="AA15" s="98">
        <v>134</v>
      </c>
      <c r="AB15" s="65"/>
    </row>
    <row r="16" spans="1:28">
      <c r="A16" s="98">
        <v>4</v>
      </c>
      <c r="B16" s="98">
        <v>113</v>
      </c>
      <c r="C16" s="57" t="s">
        <v>235</v>
      </c>
      <c r="D16" s="57"/>
      <c r="E16" s="178">
        <v>19.561500000000002</v>
      </c>
      <c r="H16" s="68">
        <v>8</v>
      </c>
      <c r="I16" s="68">
        <f>B20</f>
        <v>93</v>
      </c>
      <c r="J16" s="68" t="str">
        <f t="shared" si="2"/>
        <v>8 Claudia Grassi</v>
      </c>
      <c r="K16" s="68">
        <f>2+3+3+4+4</f>
        <v>16</v>
      </c>
      <c r="L16" s="76"/>
      <c r="N16" s="68">
        <f>L19</f>
        <v>113</v>
      </c>
      <c r="O16" s="68" t="str">
        <f t="shared" si="0"/>
        <v>4 Robin Lammers</v>
      </c>
      <c r="P16" s="68">
        <f>2+3+3+5+3</f>
        <v>16</v>
      </c>
      <c r="Q16" s="77"/>
      <c r="R16" s="37"/>
      <c r="S16" s="68">
        <f>Q19</f>
        <v>134</v>
      </c>
      <c r="T16" s="72" t="str">
        <f t="shared" si="1"/>
        <v>2 Demi Corstjens</v>
      </c>
      <c r="U16" s="72">
        <f>4+4+4+3+5</f>
        <v>20</v>
      </c>
      <c r="V16" s="71"/>
      <c r="X16" s="65"/>
      <c r="Y16" s="65"/>
      <c r="Z16" s="65"/>
      <c r="AA16" s="65"/>
      <c r="AB16" s="65"/>
    </row>
    <row r="17" spans="1:28">
      <c r="A17" s="98">
        <v>5</v>
      </c>
      <c r="B17" s="98">
        <v>87</v>
      </c>
      <c r="C17" s="57" t="s">
        <v>153</v>
      </c>
      <c r="D17" s="57"/>
      <c r="E17" s="178">
        <v>18.603220230473752</v>
      </c>
      <c r="H17" s="69">
        <v>5</v>
      </c>
      <c r="I17" s="69">
        <f>B17</f>
        <v>87</v>
      </c>
      <c r="J17" s="69" t="str">
        <f>RANK(VLOOKUP(I17,$B$13:$E$28,4,FALSE),$E$13:$E$28,0) &amp; " " &amp; VLOOKUP(I17,$B$13:$E$28,2,FALSE)</f>
        <v>5 Thea Fenwick</v>
      </c>
      <c r="K17" s="69"/>
      <c r="L17" s="98">
        <v>87</v>
      </c>
      <c r="N17" s="69">
        <f>L21</f>
        <v>21</v>
      </c>
      <c r="O17" s="69" t="str">
        <f t="shared" si="0"/>
        <v>3 Ramsauer Katharina</v>
      </c>
      <c r="P17" s="69"/>
      <c r="Q17" s="98">
        <v>21</v>
      </c>
      <c r="W17" s="62" t="s">
        <v>98</v>
      </c>
      <c r="X17" s="58" t="s">
        <v>1</v>
      </c>
      <c r="Y17" s="58" t="s">
        <v>99</v>
      </c>
      <c r="Z17" s="60" t="s">
        <v>100</v>
      </c>
      <c r="AA17" s="58" t="s">
        <v>20</v>
      </c>
      <c r="AB17" s="65"/>
    </row>
    <row r="18" spans="1:28">
      <c r="A18" s="98">
        <v>6</v>
      </c>
      <c r="B18" s="98">
        <v>62</v>
      </c>
      <c r="C18" s="57" t="s">
        <v>231</v>
      </c>
      <c r="D18" s="57"/>
      <c r="E18" s="178">
        <v>18.519743918053777</v>
      </c>
      <c r="H18" s="69">
        <v>12</v>
      </c>
      <c r="I18" s="69">
        <f>B24</f>
        <v>72</v>
      </c>
      <c r="J18" s="69" t="str">
        <f t="shared" si="2"/>
        <v>12 Esmee Burger</v>
      </c>
      <c r="K18" s="69">
        <f>1+1+1+0+1</f>
        <v>4</v>
      </c>
      <c r="L18" s="65"/>
      <c r="N18" s="69">
        <f>L23</f>
        <v>62</v>
      </c>
      <c r="O18" s="69" t="str">
        <f t="shared" si="0"/>
        <v>6 Stefanie Burger</v>
      </c>
      <c r="P18" s="69">
        <f>2+2+3+0+2</f>
        <v>9</v>
      </c>
      <c r="Q18" s="65"/>
      <c r="X18" s="68">
        <v>113</v>
      </c>
      <c r="Y18" s="68" t="str">
        <f>RANK(VLOOKUP(X18,$B$13:$E$28,4,FALSE),$E$13:$E$28,0) &amp; " " &amp; VLOOKUP(X18,$B$13:$E$28,2,FALSE)</f>
        <v>4 Robin Lammers</v>
      </c>
      <c r="Z18" s="68"/>
      <c r="AA18" s="98">
        <v>21</v>
      </c>
      <c r="AB18" s="65"/>
    </row>
    <row r="19" spans="1:28">
      <c r="A19" s="98">
        <v>7</v>
      </c>
      <c r="B19" s="98">
        <v>86</v>
      </c>
      <c r="C19" s="57" t="s">
        <v>233</v>
      </c>
      <c r="D19" s="57"/>
      <c r="E19" s="178">
        <v>18.45916133162612</v>
      </c>
      <c r="H19" s="68">
        <v>4</v>
      </c>
      <c r="I19" s="68">
        <f>B16</f>
        <v>113</v>
      </c>
      <c r="J19" s="68" t="str">
        <f t="shared" si="2"/>
        <v>4 Robin Lammers</v>
      </c>
      <c r="K19" s="68">
        <f>1+2+3+5+3</f>
        <v>14</v>
      </c>
      <c r="L19" s="68">
        <v>113</v>
      </c>
      <c r="N19" s="68">
        <f>L25</f>
        <v>86</v>
      </c>
      <c r="O19" s="68" t="str">
        <f t="shared" si="0"/>
        <v>7 Janneke Berghuis</v>
      </c>
      <c r="P19" s="68"/>
      <c r="Q19" s="68">
        <v>134</v>
      </c>
      <c r="X19" s="68">
        <v>21</v>
      </c>
      <c r="Y19" s="68" t="str">
        <f>RANK(VLOOKUP(X19,$B$13:$E$28,4,FALSE),$E$13:$E$28,0) &amp; " " &amp; VLOOKUP(X19,$B$13:$E$28,2,FALSE)</f>
        <v>3 Ramsauer Katharina</v>
      </c>
      <c r="Z19" s="79">
        <f>4+4+4+3+4</f>
        <v>19</v>
      </c>
      <c r="AA19" s="58" t="s">
        <v>21</v>
      </c>
      <c r="AB19" s="65"/>
    </row>
    <row r="20" spans="1:28">
      <c r="A20" s="98">
        <v>8</v>
      </c>
      <c r="B20" s="98">
        <v>93</v>
      </c>
      <c r="C20" s="57" t="s">
        <v>208</v>
      </c>
      <c r="D20" s="57">
        <v>2531506</v>
      </c>
      <c r="E20" s="178">
        <v>17.658963508322664</v>
      </c>
      <c r="F20">
        <v>4</v>
      </c>
      <c r="G20" s="141" t="s">
        <v>209</v>
      </c>
      <c r="H20" s="68">
        <v>13</v>
      </c>
      <c r="I20" s="68">
        <f>B25</f>
        <v>85</v>
      </c>
      <c r="J20" s="68" t="str">
        <f t="shared" si="2"/>
        <v>13 Camilla Bledig</v>
      </c>
      <c r="K20" s="68"/>
      <c r="L20" s="76"/>
      <c r="N20" s="68">
        <f>L27</f>
        <v>134</v>
      </c>
      <c r="O20" s="68" t="str">
        <f t="shared" si="0"/>
        <v>2 Demi Corstjens</v>
      </c>
      <c r="P20" s="68">
        <f>4+4+3+5+5</f>
        <v>21</v>
      </c>
      <c r="Q20" s="76"/>
      <c r="X20" s="65"/>
      <c r="Y20" s="65"/>
      <c r="Z20" s="65"/>
      <c r="AA20" s="98">
        <v>113</v>
      </c>
      <c r="AB20" s="65"/>
    </row>
    <row r="21" spans="1:28">
      <c r="A21" s="98">
        <v>9</v>
      </c>
      <c r="B21" s="98">
        <v>99</v>
      </c>
      <c r="C21" s="57" t="s">
        <v>184</v>
      </c>
      <c r="D21" s="57"/>
      <c r="E21" s="178">
        <v>17.109000000000002</v>
      </c>
      <c r="H21" s="69">
        <v>3</v>
      </c>
      <c r="I21" s="69">
        <f>B15</f>
        <v>21</v>
      </c>
      <c r="J21" s="69" t="str">
        <f t="shared" si="2"/>
        <v>3 Ramsauer Katharina</v>
      </c>
      <c r="K21" s="69"/>
      <c r="L21" s="98">
        <v>21</v>
      </c>
    </row>
    <row r="22" spans="1:28">
      <c r="A22" s="98">
        <v>10</v>
      </c>
      <c r="B22" s="98">
        <v>124</v>
      </c>
      <c r="C22" s="57" t="s">
        <v>241</v>
      </c>
      <c r="D22" s="57"/>
      <c r="E22" s="178">
        <v>14.894770806658132</v>
      </c>
      <c r="H22" s="69">
        <v>14</v>
      </c>
      <c r="I22" s="69" t="str">
        <f>B26</f>
        <v xml:space="preserve"> </v>
      </c>
      <c r="J22" s="69" t="e">
        <f t="shared" si="2"/>
        <v>#VALUE!</v>
      </c>
      <c r="K22" s="69"/>
      <c r="L22" s="65"/>
    </row>
    <row r="23" spans="1:28">
      <c r="A23" s="98">
        <v>11</v>
      </c>
      <c r="B23" s="98">
        <v>23</v>
      </c>
      <c r="C23" s="57" t="s">
        <v>232</v>
      </c>
      <c r="D23" s="57"/>
      <c r="E23" s="178">
        <v>13.779093469910372</v>
      </c>
      <c r="H23" s="68">
        <v>6</v>
      </c>
      <c r="I23" s="68">
        <f>B18</f>
        <v>62</v>
      </c>
      <c r="J23" s="68" t="str">
        <f t="shared" si="2"/>
        <v>6 Stefanie Burger</v>
      </c>
      <c r="K23" s="68">
        <f>3+3+3+3+4</f>
        <v>16</v>
      </c>
      <c r="L23" s="68">
        <v>62</v>
      </c>
    </row>
    <row r="24" spans="1:28">
      <c r="A24" s="98">
        <v>12</v>
      </c>
      <c r="B24" s="98">
        <v>72</v>
      </c>
      <c r="C24" s="57" t="s">
        <v>234</v>
      </c>
      <c r="D24" s="57"/>
      <c r="E24" s="178">
        <v>6.6345736235595396</v>
      </c>
      <c r="H24" s="68">
        <v>11</v>
      </c>
      <c r="I24" s="68">
        <f>B23</f>
        <v>23</v>
      </c>
      <c r="J24" s="68" t="str">
        <f t="shared" si="2"/>
        <v>11 Laura Berghuis</v>
      </c>
      <c r="K24" s="68"/>
      <c r="L24" s="76"/>
    </row>
    <row r="25" spans="1:28">
      <c r="A25" s="98">
        <v>13</v>
      </c>
      <c r="B25" s="98">
        <v>85</v>
      </c>
      <c r="C25" s="57" t="s">
        <v>212</v>
      </c>
      <c r="D25" s="57">
        <v>2532171</v>
      </c>
      <c r="E25" s="178">
        <v>0.01</v>
      </c>
      <c r="F25">
        <v>5</v>
      </c>
      <c r="G25" s="141" t="s">
        <v>209</v>
      </c>
      <c r="H25" s="69">
        <v>7</v>
      </c>
      <c r="I25" s="69">
        <f>B19</f>
        <v>86</v>
      </c>
      <c r="J25" s="69" t="str">
        <f t="shared" si="2"/>
        <v>7 Janneke Berghuis</v>
      </c>
      <c r="K25" s="69"/>
      <c r="L25" s="98">
        <v>86</v>
      </c>
    </row>
    <row r="26" spans="1:28">
      <c r="A26" s="98">
        <v>14</v>
      </c>
      <c r="B26" s="98" t="s">
        <v>305</v>
      </c>
      <c r="C26" s="57" t="s">
        <v>305</v>
      </c>
      <c r="D26" s="57" t="s">
        <v>305</v>
      </c>
      <c r="E26" s="98" t="s">
        <v>305</v>
      </c>
      <c r="H26" s="69">
        <v>10</v>
      </c>
      <c r="I26" s="69">
        <f>B22</f>
        <v>124</v>
      </c>
      <c r="J26" s="69" t="str">
        <f t="shared" si="2"/>
        <v>10 Jodie Grant</v>
      </c>
      <c r="K26" s="69">
        <f>2+3+2+2+2</f>
        <v>11</v>
      </c>
      <c r="L26" s="65"/>
      <c r="V26" s="73"/>
    </row>
    <row r="27" spans="1:28">
      <c r="A27" s="98">
        <v>15</v>
      </c>
      <c r="B27" s="98" t="s">
        <v>305</v>
      </c>
      <c r="C27" s="57" t="s">
        <v>305</v>
      </c>
      <c r="D27" s="57" t="s">
        <v>305</v>
      </c>
      <c r="E27" s="98" t="s">
        <v>305</v>
      </c>
      <c r="H27" s="68">
        <v>15</v>
      </c>
      <c r="I27" s="68" t="str">
        <f>B27</f>
        <v xml:space="preserve"> </v>
      </c>
      <c r="J27" s="68" t="e">
        <f t="shared" si="2"/>
        <v>#VALUE!</v>
      </c>
      <c r="K27" s="68"/>
      <c r="L27" s="68">
        <v>134</v>
      </c>
    </row>
    <row r="28" spans="1:28">
      <c r="A28" s="98">
        <v>16</v>
      </c>
      <c r="B28" s="98" t="s">
        <v>305</v>
      </c>
      <c r="C28" s="57" t="s">
        <v>305</v>
      </c>
      <c r="D28" s="57" t="s">
        <v>305</v>
      </c>
      <c r="E28" s="98" t="s">
        <v>305</v>
      </c>
      <c r="H28" s="68">
        <v>2</v>
      </c>
      <c r="I28" s="68">
        <f>B14</f>
        <v>134</v>
      </c>
      <c r="J28" s="68" t="str">
        <f t="shared" si="2"/>
        <v>2 Demi Corstjens</v>
      </c>
      <c r="K28" s="68"/>
      <c r="L28" s="76"/>
      <c r="M28" s="73"/>
    </row>
  </sheetData>
  <mergeCells count="13">
    <mergeCell ref="A1:I1"/>
    <mergeCell ref="A2:I2"/>
    <mergeCell ref="A5:B5"/>
    <mergeCell ref="C5:F5"/>
    <mergeCell ref="A6:B6"/>
    <mergeCell ref="C6:F6"/>
    <mergeCell ref="A11:L11"/>
    <mergeCell ref="A7:B7"/>
    <mergeCell ref="C7:F7"/>
    <mergeCell ref="A8:B8"/>
    <mergeCell ref="C8:F8"/>
    <mergeCell ref="A9:B9"/>
    <mergeCell ref="C9:F9"/>
  </mergeCells>
  <pageMargins left="0.7" right="0.7" top="0.75" bottom="0.75" header="0.3" footer="0.3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43"/>
  <sheetViews>
    <sheetView topLeftCell="A22" workbookViewId="0">
      <selection activeCell="B44" sqref="B44"/>
    </sheetView>
  </sheetViews>
  <sheetFormatPr defaultRowHeight="13.2"/>
  <cols>
    <col min="1" max="1" width="14.5546875" customWidth="1"/>
    <col min="2" max="2" width="16" customWidth="1"/>
    <col min="3" max="3" width="15.44140625" customWidth="1"/>
    <col min="4" max="4" width="20.33203125" bestFit="1" customWidth="1"/>
  </cols>
  <sheetData>
    <row r="1" spans="1:4" ht="14.4">
      <c r="A1" s="80" t="s">
        <v>23</v>
      </c>
      <c r="B1" s="80" t="s">
        <v>24</v>
      </c>
      <c r="C1" s="80" t="s">
        <v>139</v>
      </c>
      <c r="D1" s="80" t="s">
        <v>140</v>
      </c>
    </row>
    <row r="2" spans="1:4" ht="14.4">
      <c r="A2" s="81" t="s">
        <v>63</v>
      </c>
      <c r="B2" s="81" t="s">
        <v>25</v>
      </c>
      <c r="C2" s="82">
        <v>0</v>
      </c>
      <c r="D2" s="83">
        <v>0</v>
      </c>
    </row>
    <row r="3" spans="1:4" ht="14.4">
      <c r="A3" s="81" t="s">
        <v>62</v>
      </c>
      <c r="B3" s="84">
        <v>180</v>
      </c>
      <c r="C3" s="82">
        <v>0.81</v>
      </c>
      <c r="D3" s="83">
        <v>0.96</v>
      </c>
    </row>
    <row r="4" spans="1:4" ht="14.4">
      <c r="A4" s="81" t="s">
        <v>61</v>
      </c>
      <c r="B4" s="84">
        <v>360</v>
      </c>
      <c r="C4" s="82">
        <v>1.05</v>
      </c>
      <c r="D4" s="85">
        <v>1.2</v>
      </c>
    </row>
    <row r="5" spans="1:4" ht="14.4">
      <c r="A5" s="81" t="s">
        <v>26</v>
      </c>
      <c r="B5" s="84" t="s">
        <v>70</v>
      </c>
      <c r="C5" s="82">
        <v>1.1299999999999999</v>
      </c>
      <c r="D5" s="83">
        <v>1.28</v>
      </c>
    </row>
    <row r="6" spans="1:4" ht="14.4">
      <c r="A6" s="86" t="s">
        <v>71</v>
      </c>
      <c r="B6" s="83" t="s">
        <v>72</v>
      </c>
      <c r="C6" s="87">
        <v>1.1499999999999999</v>
      </c>
      <c r="D6" s="85">
        <v>1.3</v>
      </c>
    </row>
    <row r="7" spans="1:4" ht="14.4">
      <c r="A7" s="81" t="s">
        <v>27</v>
      </c>
      <c r="B7" s="81" t="s">
        <v>73</v>
      </c>
      <c r="C7" s="82">
        <v>1.05</v>
      </c>
      <c r="D7" s="85">
        <v>1.2</v>
      </c>
    </row>
    <row r="8" spans="1:4" ht="14.4">
      <c r="A8" s="81" t="s">
        <v>28</v>
      </c>
      <c r="B8" s="81" t="s">
        <v>74</v>
      </c>
      <c r="C8" s="82">
        <v>1.1299999999999999</v>
      </c>
      <c r="D8" s="85">
        <v>1.28</v>
      </c>
    </row>
    <row r="9" spans="1:4" ht="14.4">
      <c r="A9" s="88" t="s">
        <v>141</v>
      </c>
      <c r="B9" s="81" t="s">
        <v>142</v>
      </c>
      <c r="C9" s="82">
        <v>1.1499999999999999</v>
      </c>
      <c r="D9" s="85">
        <v>1.3</v>
      </c>
    </row>
    <row r="10" spans="1:4" ht="14.4">
      <c r="A10" s="81" t="s">
        <v>64</v>
      </c>
      <c r="B10" s="81" t="s">
        <v>29</v>
      </c>
      <c r="C10" s="82">
        <v>1.28</v>
      </c>
      <c r="D10" s="83">
        <v>1.51</v>
      </c>
    </row>
    <row r="11" spans="1:4" ht="14.4">
      <c r="A11" s="81" t="s">
        <v>143</v>
      </c>
      <c r="B11" s="81" t="s">
        <v>144</v>
      </c>
      <c r="C11" s="82">
        <v>1.24</v>
      </c>
      <c r="D11" s="83">
        <v>1.47</v>
      </c>
    </row>
    <row r="12" spans="1:4" ht="14.4">
      <c r="A12" s="81" t="s">
        <v>30</v>
      </c>
      <c r="B12" s="81" t="s">
        <v>75</v>
      </c>
      <c r="C12" s="82">
        <v>1.24</v>
      </c>
      <c r="D12" s="83">
        <v>1.47</v>
      </c>
    </row>
    <row r="13" spans="1:4" ht="14.4">
      <c r="A13" s="81" t="s">
        <v>31</v>
      </c>
      <c r="B13" s="81" t="s">
        <v>32</v>
      </c>
      <c r="C13" s="82">
        <v>1.32</v>
      </c>
      <c r="D13" s="83">
        <v>1.55</v>
      </c>
    </row>
    <row r="14" spans="1:4" ht="14.4">
      <c r="A14" s="81" t="s">
        <v>89</v>
      </c>
      <c r="B14" s="81" t="s">
        <v>145</v>
      </c>
      <c r="C14" s="82">
        <v>1.05</v>
      </c>
      <c r="D14" s="85">
        <v>1.2</v>
      </c>
    </row>
    <row r="15" spans="1:4" ht="14.4">
      <c r="A15" s="81" t="s">
        <v>33</v>
      </c>
      <c r="B15" s="81" t="s">
        <v>34</v>
      </c>
      <c r="C15" s="82">
        <v>1.24</v>
      </c>
      <c r="D15" s="83">
        <v>1.47</v>
      </c>
    </row>
    <row r="16" spans="1:4" ht="14.4">
      <c r="A16" s="81" t="s">
        <v>35</v>
      </c>
      <c r="B16" s="81" t="s">
        <v>36</v>
      </c>
      <c r="C16" s="82">
        <v>1.24</v>
      </c>
      <c r="D16" s="83">
        <v>1.47</v>
      </c>
    </row>
    <row r="17" spans="1:4" ht="14.4">
      <c r="A17" s="81" t="s">
        <v>37</v>
      </c>
      <c r="B17" s="81" t="s">
        <v>38</v>
      </c>
      <c r="C17" s="82">
        <v>1.05</v>
      </c>
      <c r="D17" s="85">
        <v>1.2</v>
      </c>
    </row>
    <row r="18" spans="1:4" ht="14.4">
      <c r="A18" s="81" t="s">
        <v>39</v>
      </c>
      <c r="B18" s="81" t="s">
        <v>76</v>
      </c>
      <c r="C18" s="82">
        <v>1.05</v>
      </c>
      <c r="D18" s="85">
        <v>1.2</v>
      </c>
    </row>
    <row r="19" spans="1:4" ht="14.4">
      <c r="A19" s="81" t="s">
        <v>40</v>
      </c>
      <c r="B19" s="81" t="s">
        <v>41</v>
      </c>
      <c r="C19" s="82">
        <v>1.05</v>
      </c>
      <c r="D19" s="85">
        <v>1.2</v>
      </c>
    </row>
    <row r="20" spans="1:4" ht="14.4">
      <c r="A20" s="81" t="s">
        <v>42</v>
      </c>
      <c r="B20" s="81" t="s">
        <v>77</v>
      </c>
      <c r="C20" s="82">
        <v>1.05</v>
      </c>
      <c r="D20" s="85">
        <v>1.2</v>
      </c>
    </row>
    <row r="21" spans="1:4" ht="14.4">
      <c r="A21" s="81" t="s">
        <v>44</v>
      </c>
      <c r="B21" s="81" t="s">
        <v>45</v>
      </c>
      <c r="C21" s="89">
        <v>1.1000000000000001</v>
      </c>
      <c r="D21" s="83">
        <v>1.25</v>
      </c>
    </row>
    <row r="22" spans="1:4" ht="14.4">
      <c r="A22" s="81" t="s">
        <v>47</v>
      </c>
      <c r="B22" s="81" t="s">
        <v>48</v>
      </c>
      <c r="C22" s="82">
        <v>1.0900000000000001</v>
      </c>
      <c r="D22" s="83">
        <v>1.24</v>
      </c>
    </row>
    <row r="23" spans="1:4" ht="14.4">
      <c r="A23" s="81" t="s">
        <v>49</v>
      </c>
      <c r="B23" s="81" t="s">
        <v>50</v>
      </c>
      <c r="C23" s="82">
        <v>1.0900000000000001</v>
      </c>
      <c r="D23" s="83">
        <v>1.24</v>
      </c>
    </row>
    <row r="24" spans="1:4" ht="14.4">
      <c r="A24" s="90" t="s">
        <v>78</v>
      </c>
      <c r="B24" s="90" t="s">
        <v>79</v>
      </c>
      <c r="C24" s="91">
        <v>1.17</v>
      </c>
      <c r="D24" s="83">
        <v>1.32</v>
      </c>
    </row>
    <row r="25" spans="1:4" ht="14.4">
      <c r="A25" s="90" t="s">
        <v>80</v>
      </c>
      <c r="B25" s="90" t="s">
        <v>81</v>
      </c>
      <c r="C25" s="91">
        <v>1.19</v>
      </c>
      <c r="D25" s="83">
        <v>1.34</v>
      </c>
    </row>
    <row r="26" spans="1:4" ht="28.8">
      <c r="A26" s="81" t="s">
        <v>54</v>
      </c>
      <c r="B26" s="81" t="s">
        <v>146</v>
      </c>
      <c r="C26" s="89">
        <v>0.5</v>
      </c>
      <c r="D26" s="85">
        <v>0.60000000000000009</v>
      </c>
    </row>
    <row r="27" spans="1:4" ht="14.4">
      <c r="A27" s="81" t="s">
        <v>51</v>
      </c>
      <c r="B27" s="81" t="s">
        <v>52</v>
      </c>
      <c r="C27" s="82">
        <v>0.61</v>
      </c>
      <c r="D27" s="83">
        <v>0.76</v>
      </c>
    </row>
    <row r="28" spans="1:4" ht="14.4">
      <c r="A28" s="81" t="s">
        <v>53</v>
      </c>
      <c r="B28" s="81" t="s">
        <v>82</v>
      </c>
      <c r="C28" s="82">
        <v>0.61</v>
      </c>
      <c r="D28" s="83">
        <v>0.76</v>
      </c>
    </row>
    <row r="29" spans="1:4" ht="14.4">
      <c r="A29" s="81" t="s">
        <v>55</v>
      </c>
      <c r="B29" s="81" t="s">
        <v>83</v>
      </c>
      <c r="C29" s="82">
        <v>0.57000000000000006</v>
      </c>
      <c r="D29" s="83">
        <v>0.72</v>
      </c>
    </row>
    <row r="30" spans="1:4" ht="14.4">
      <c r="A30" s="81" t="s">
        <v>56</v>
      </c>
      <c r="B30" s="81" t="s">
        <v>84</v>
      </c>
      <c r="C30" s="82">
        <v>0.79</v>
      </c>
      <c r="D30" s="83">
        <v>0.94</v>
      </c>
    </row>
    <row r="31" spans="1:4" ht="14.4">
      <c r="A31" s="81" t="s">
        <v>57</v>
      </c>
      <c r="B31" s="81" t="s">
        <v>85</v>
      </c>
      <c r="C31" s="82">
        <v>0.75</v>
      </c>
      <c r="D31" s="85">
        <v>0.9</v>
      </c>
    </row>
    <row r="32" spans="1:4" ht="14.4">
      <c r="A32" s="81" t="s">
        <v>58</v>
      </c>
      <c r="B32" s="81" t="s">
        <v>86</v>
      </c>
      <c r="C32" s="82">
        <v>0.96</v>
      </c>
      <c r="D32" s="83">
        <v>1.1100000000000001</v>
      </c>
    </row>
    <row r="33" spans="1:4" ht="14.4">
      <c r="A33" s="81" t="s">
        <v>17</v>
      </c>
      <c r="B33" s="81" t="s">
        <v>147</v>
      </c>
      <c r="C33" s="82">
        <v>0.61</v>
      </c>
      <c r="D33" s="83">
        <v>0.76</v>
      </c>
    </row>
    <row r="34" spans="1:4" ht="14.4">
      <c r="A34" s="81" t="s">
        <v>46</v>
      </c>
      <c r="B34" s="81" t="s">
        <v>87</v>
      </c>
      <c r="C34" s="82">
        <v>0.62</v>
      </c>
      <c r="D34" s="83">
        <v>0.77</v>
      </c>
    </row>
    <row r="35" spans="1:4" ht="14.4">
      <c r="A35" s="81" t="s">
        <v>43</v>
      </c>
      <c r="B35" s="81" t="s">
        <v>88</v>
      </c>
      <c r="C35" s="82">
        <v>0.62</v>
      </c>
      <c r="D35" s="83">
        <v>0.77</v>
      </c>
    </row>
    <row r="36" spans="1:4" ht="14.4">
      <c r="A36" s="90" t="s">
        <v>148</v>
      </c>
      <c r="B36" s="90" t="s">
        <v>90</v>
      </c>
      <c r="C36" s="91">
        <v>0.61</v>
      </c>
      <c r="D36" s="83">
        <v>0.76</v>
      </c>
    </row>
    <row r="37" spans="1:4">
      <c r="A37" s="83" t="s">
        <v>149</v>
      </c>
      <c r="B37" s="83" t="s">
        <v>150</v>
      </c>
      <c r="C37" s="85">
        <v>0.6</v>
      </c>
      <c r="D37" s="83">
        <v>0.75</v>
      </c>
    </row>
    <row r="38" spans="1:4" ht="14.4">
      <c r="A38" s="86" t="s">
        <v>277</v>
      </c>
      <c r="B38" s="86" t="s">
        <v>278</v>
      </c>
      <c r="C38" s="87">
        <v>1.05</v>
      </c>
      <c r="D38" s="106">
        <v>1.2</v>
      </c>
    </row>
    <row r="39" spans="1:4" ht="14.4">
      <c r="A39" s="86" t="s">
        <v>287</v>
      </c>
      <c r="B39" s="86" t="s">
        <v>288</v>
      </c>
      <c r="C39" s="87">
        <v>0.83</v>
      </c>
      <c r="D39" s="106">
        <v>0.98</v>
      </c>
    </row>
    <row r="40" spans="1:4" ht="14.4">
      <c r="A40" s="86" t="s">
        <v>292</v>
      </c>
      <c r="C40" s="82">
        <v>1.24</v>
      </c>
      <c r="D40" s="83">
        <v>1.47</v>
      </c>
    </row>
    <row r="41" spans="1:4" ht="14.4">
      <c r="A41" s="86" t="s">
        <v>293</v>
      </c>
      <c r="C41" s="87">
        <v>0.98</v>
      </c>
      <c r="D41" s="106">
        <v>1.1299999999999999</v>
      </c>
    </row>
    <row r="42" spans="1:4">
      <c r="A42" s="83" t="s">
        <v>294</v>
      </c>
      <c r="B42" s="83" t="s">
        <v>295</v>
      </c>
      <c r="C42" s="85">
        <v>0.6</v>
      </c>
      <c r="D42" s="83">
        <v>0.75</v>
      </c>
    </row>
    <row r="43" spans="1:4" ht="14.4">
      <c r="A43" s="86" t="s">
        <v>312</v>
      </c>
      <c r="B43" t="s">
        <v>313</v>
      </c>
      <c r="C43" s="87">
        <v>0.82</v>
      </c>
      <c r="D43" s="106">
        <v>0.97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84"/>
  <sheetViews>
    <sheetView workbookViewId="0">
      <selection activeCell="B31" sqref="B31:T41"/>
    </sheetView>
  </sheetViews>
  <sheetFormatPr defaultColWidth="11.44140625" defaultRowHeight="13.2"/>
  <cols>
    <col min="2" max="2" width="8.109375" customWidth="1"/>
    <col min="3" max="3" width="17.44140625" bestFit="1" customWidth="1"/>
    <col min="4" max="4" width="22" customWidth="1"/>
    <col min="5" max="5" width="18.44140625" customWidth="1"/>
    <col min="6" max="6" width="11.109375" customWidth="1"/>
    <col min="8" max="8" width="16.6640625" bestFit="1" customWidth="1"/>
    <col min="9" max="9" width="16.5546875" bestFit="1" customWidth="1"/>
  </cols>
  <sheetData>
    <row r="1" spans="1:39" ht="24.6">
      <c r="A1" s="159"/>
      <c r="B1" s="159"/>
      <c r="C1" s="159"/>
      <c r="D1" s="159"/>
      <c r="E1" s="159"/>
      <c r="F1" s="159"/>
      <c r="G1" s="159"/>
      <c r="H1" s="159"/>
      <c r="I1" s="15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9" ht="17.399999999999999">
      <c r="A2" s="160" t="s">
        <v>227</v>
      </c>
      <c r="B2" s="160"/>
      <c r="C2" s="160"/>
      <c r="D2" s="160"/>
      <c r="E2" s="160"/>
      <c r="F2" s="160"/>
      <c r="G2" s="160"/>
      <c r="H2" s="160"/>
      <c r="I2" s="160"/>
      <c r="J2" s="95" t="s">
        <v>198</v>
      </c>
      <c r="K2" s="1"/>
      <c r="L2" s="95" t="s">
        <v>197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9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9" ht="13.8" thickBot="1">
      <c r="A4" s="7"/>
      <c r="B4" s="1"/>
      <c r="C4" s="1"/>
      <c r="D4" s="1"/>
      <c r="E4" s="1"/>
      <c r="F4" s="1"/>
      <c r="G4" s="1"/>
      <c r="H4" s="1"/>
      <c r="I4" s="1"/>
      <c r="J4" s="1" t="s">
        <v>152</v>
      </c>
      <c r="K4" s="1" t="s">
        <v>151</v>
      </c>
      <c r="L4" s="1"/>
      <c r="M4" s="1" t="s">
        <v>11</v>
      </c>
      <c r="N4" s="1" t="s">
        <v>219</v>
      </c>
      <c r="O4" s="1"/>
      <c r="P4" s="1" t="s">
        <v>216</v>
      </c>
      <c r="Q4" s="1" t="s">
        <v>224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9">
      <c r="A5" s="161" t="s">
        <v>6</v>
      </c>
      <c r="B5" s="162"/>
      <c r="C5" s="163" t="s">
        <v>218</v>
      </c>
      <c r="D5" s="164"/>
      <c r="E5" s="164"/>
      <c r="F5" s="165"/>
      <c r="G5" s="1"/>
      <c r="H5" s="1"/>
      <c r="I5" s="36" t="s">
        <v>69</v>
      </c>
      <c r="J5" s="1">
        <v>17.57</v>
      </c>
      <c r="K5" s="1">
        <v>20.71</v>
      </c>
      <c r="L5" s="1"/>
      <c r="M5" s="1" t="s">
        <v>12</v>
      </c>
      <c r="N5" s="1" t="s">
        <v>220</v>
      </c>
      <c r="O5" s="1"/>
      <c r="P5" s="1" t="s">
        <v>217</v>
      </c>
      <c r="Q5" s="1" t="s">
        <v>222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9">
      <c r="A6" s="149" t="s">
        <v>7</v>
      </c>
      <c r="B6" s="150"/>
      <c r="C6" s="151" t="s">
        <v>230</v>
      </c>
      <c r="D6" s="152"/>
      <c r="E6" s="152"/>
      <c r="F6" s="153"/>
      <c r="G6" s="1"/>
      <c r="H6" s="1"/>
      <c r="I6" s="1"/>
      <c r="J6" s="1"/>
      <c r="K6" s="1"/>
      <c r="L6" s="1"/>
      <c r="M6" s="1" t="s">
        <v>15</v>
      </c>
      <c r="N6" s="1" t="s">
        <v>221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9">
      <c r="A7" s="149" t="s">
        <v>8</v>
      </c>
      <c r="B7" s="150"/>
      <c r="C7" s="151" t="s">
        <v>242</v>
      </c>
      <c r="D7" s="152"/>
      <c r="E7" s="152"/>
      <c r="F7" s="153"/>
      <c r="G7" s="1"/>
      <c r="H7" s="1"/>
      <c r="I7" s="1" t="s">
        <v>253</v>
      </c>
      <c r="J7" s="1"/>
      <c r="K7" s="1"/>
      <c r="L7" s="1"/>
      <c r="M7" s="1" t="s">
        <v>214</v>
      </c>
      <c r="N7" s="1" t="s">
        <v>222</v>
      </c>
      <c r="O7" s="1"/>
      <c r="P7" s="1" t="s">
        <v>225</v>
      </c>
      <c r="Q7" s="1" t="s">
        <v>226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9">
      <c r="A8" s="149" t="s">
        <v>9</v>
      </c>
      <c r="B8" s="150"/>
      <c r="C8" s="151" t="s">
        <v>104</v>
      </c>
      <c r="D8" s="152"/>
      <c r="E8" s="152"/>
      <c r="F8" s="153"/>
      <c r="G8" s="1"/>
      <c r="H8" s="1"/>
      <c r="I8" s="1"/>
      <c r="J8" s="1"/>
      <c r="K8" s="1"/>
      <c r="L8" s="1"/>
      <c r="M8" s="1" t="s">
        <v>215</v>
      </c>
      <c r="N8" s="1" t="s">
        <v>223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9" ht="13.8" thickBot="1">
      <c r="A9" s="154" t="s">
        <v>10</v>
      </c>
      <c r="B9" s="155"/>
      <c r="C9" s="156" t="s">
        <v>105</v>
      </c>
      <c r="D9" s="157"/>
      <c r="E9" s="157"/>
      <c r="F9" s="15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37"/>
      <c r="AL9" s="37"/>
      <c r="AM9" s="37"/>
    </row>
    <row r="10" spans="1:39" ht="13.8" thickBot="1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9"/>
      <c r="AL10" s="37"/>
      <c r="AM10" s="37"/>
    </row>
    <row r="11" spans="1:39" ht="13.8" thickBot="1">
      <c r="A11" s="8"/>
      <c r="B11" s="5"/>
      <c r="C11" s="5"/>
      <c r="D11" s="5"/>
      <c r="E11" s="20" t="s">
        <v>228</v>
      </c>
      <c r="F11" s="5"/>
      <c r="G11" s="5"/>
      <c r="H11" s="5"/>
      <c r="I11" s="6"/>
      <c r="J11" s="21"/>
      <c r="K11" s="9"/>
      <c r="L11" s="9"/>
      <c r="M11" s="9"/>
      <c r="N11" s="9"/>
      <c r="O11" s="9"/>
      <c r="P11" s="9"/>
      <c r="Q11" s="9"/>
      <c r="R11" s="9"/>
      <c r="S11" s="9"/>
      <c r="T11" s="45"/>
      <c r="U11" s="38"/>
      <c r="V11" s="38"/>
      <c r="W11" s="38"/>
      <c r="X11" s="38"/>
      <c r="Y11" s="38"/>
      <c r="Z11" s="38"/>
      <c r="AA11" s="38"/>
      <c r="AB11" s="38"/>
      <c r="AC11" s="38"/>
      <c r="AD11" s="40"/>
      <c r="AE11" s="38"/>
      <c r="AF11" s="38"/>
      <c r="AG11" s="38"/>
      <c r="AH11" s="38"/>
      <c r="AI11" s="40"/>
      <c r="AJ11" s="38"/>
      <c r="AK11" s="39"/>
      <c r="AL11" s="37"/>
      <c r="AM11" s="37"/>
    </row>
    <row r="12" spans="1:39" ht="13.8" thickBot="1">
      <c r="A12" s="2" t="s">
        <v>0</v>
      </c>
      <c r="B12" s="3" t="s">
        <v>1</v>
      </c>
      <c r="C12" s="3" t="s">
        <v>252</v>
      </c>
      <c r="D12" s="3" t="s">
        <v>111</v>
      </c>
      <c r="E12" s="3" t="s">
        <v>238</v>
      </c>
      <c r="F12" s="3" t="s">
        <v>16</v>
      </c>
      <c r="G12" s="3" t="s">
        <v>3</v>
      </c>
      <c r="H12" s="3" t="s">
        <v>4</v>
      </c>
      <c r="I12" s="4" t="s">
        <v>5</v>
      </c>
      <c r="J12" s="2" t="s">
        <v>11</v>
      </c>
      <c r="K12" s="3" t="s">
        <v>12</v>
      </c>
      <c r="L12" s="3" t="s">
        <v>13</v>
      </c>
      <c r="M12" s="3" t="s">
        <v>66</v>
      </c>
      <c r="N12" s="3" t="s">
        <v>65</v>
      </c>
      <c r="O12" s="3" t="s">
        <v>67</v>
      </c>
      <c r="P12" s="3" t="s">
        <v>68</v>
      </c>
      <c r="Q12" s="3" t="s">
        <v>59</v>
      </c>
      <c r="R12" s="3" t="s">
        <v>60</v>
      </c>
      <c r="S12" s="3" t="s">
        <v>22</v>
      </c>
      <c r="T12" s="46" t="s">
        <v>14</v>
      </c>
      <c r="U12" s="41"/>
      <c r="V12" s="41"/>
      <c r="W12" s="41"/>
      <c r="X12" s="41"/>
      <c r="Y12" s="42"/>
      <c r="Z12" s="41"/>
      <c r="AA12" s="41"/>
      <c r="AB12" s="41"/>
      <c r="AC12" s="41"/>
      <c r="AD12" s="42"/>
      <c r="AE12" s="41"/>
      <c r="AF12" s="41"/>
      <c r="AG12" s="41"/>
      <c r="AH12" s="41"/>
      <c r="AI12" s="42"/>
      <c r="AJ12" s="43"/>
      <c r="AK12" s="39"/>
      <c r="AL12" s="37"/>
      <c r="AM12" s="37"/>
    </row>
    <row r="13" spans="1:39">
      <c r="A13" s="19">
        <f t="shared" ref="A13:A21" si="0">RANK(T13,$T$13:$T$21,0)</f>
        <v>1</v>
      </c>
      <c r="B13" s="22">
        <v>38</v>
      </c>
      <c r="C13" s="22">
        <v>3</v>
      </c>
      <c r="D13" s="22" t="s">
        <v>179</v>
      </c>
      <c r="E13" s="22">
        <v>2530095</v>
      </c>
      <c r="F13" s="22" t="s">
        <v>173</v>
      </c>
      <c r="G13" s="22" t="s">
        <v>239</v>
      </c>
      <c r="H13" s="22" t="s">
        <v>180</v>
      </c>
      <c r="I13" s="23" t="s">
        <v>181</v>
      </c>
      <c r="J13" s="24">
        <v>3</v>
      </c>
      <c r="K13" s="25">
        <v>2.8</v>
      </c>
      <c r="L13" s="25">
        <v>3.4</v>
      </c>
      <c r="M13" s="51">
        <v>1.7</v>
      </c>
      <c r="N13" s="51">
        <v>1.8</v>
      </c>
      <c r="O13" s="49">
        <v>2</v>
      </c>
      <c r="P13" s="49">
        <v>2.1</v>
      </c>
      <c r="Q13" s="49" t="s">
        <v>275</v>
      </c>
      <c r="R13" s="49" t="s">
        <v>279</v>
      </c>
      <c r="S13" s="25">
        <v>21.17</v>
      </c>
      <c r="T13" s="26">
        <f>(J13+K13+L13)+IF((VLOOKUP(Q13,MogulsDD!$A$1:$D$1000,4,FALSE)*(M13+O13)/2)&gt;3.75,3.75,VLOOKUP(Q13,MogulsDD!$A$1:$D$1000,4,FALSE)*(M13+O13)/2)+IF((VLOOKUP(R13,MogulsDD!$A$1:$D$1000,4,FALSE)*(N13+P13)/2)&gt;3.75,3.75,VLOOKUP(R13,MogulsDD!$A$1:$D$1000,4,FALSE)*(N13+P13)/2)+IF((18-12*S13/$K$5)&gt;7.5,7.5,IF((18-12*S13/$K$5)&lt;0,0,(18-12*S13/$K$5)))</f>
        <v>18.154462095605986</v>
      </c>
      <c r="U13" s="38"/>
      <c r="V13" s="38"/>
      <c r="W13" s="38"/>
      <c r="X13" s="38"/>
      <c r="Y13" s="39"/>
      <c r="Z13" s="38"/>
      <c r="AA13" s="38"/>
      <c r="AB13" s="38"/>
      <c r="AC13" s="38"/>
      <c r="AD13" s="39"/>
      <c r="AE13" s="38"/>
      <c r="AF13" s="38"/>
      <c r="AG13" s="38"/>
      <c r="AH13" s="38"/>
      <c r="AI13" s="39"/>
      <c r="AJ13" s="44"/>
      <c r="AK13" s="39"/>
      <c r="AL13" s="37"/>
      <c r="AM13" s="37"/>
    </row>
    <row r="14" spans="1:39">
      <c r="A14" s="19">
        <f t="shared" si="0"/>
        <v>2</v>
      </c>
      <c r="B14" s="22">
        <v>85</v>
      </c>
      <c r="C14" s="22">
        <v>4</v>
      </c>
      <c r="D14" s="22" t="s">
        <v>212</v>
      </c>
      <c r="E14" s="22">
        <v>2532171</v>
      </c>
      <c r="F14" s="22" t="s">
        <v>206</v>
      </c>
      <c r="G14" s="22" t="s">
        <v>207</v>
      </c>
      <c r="H14" s="22" t="s">
        <v>245</v>
      </c>
      <c r="I14" s="23" t="s">
        <v>213</v>
      </c>
      <c r="J14" s="27">
        <v>2.6</v>
      </c>
      <c r="K14" s="28">
        <v>2.5</v>
      </c>
      <c r="L14" s="28">
        <v>2.8</v>
      </c>
      <c r="M14" s="52">
        <v>1.2</v>
      </c>
      <c r="N14" s="52">
        <v>1.7</v>
      </c>
      <c r="O14" s="49">
        <v>1.1000000000000001</v>
      </c>
      <c r="P14" s="49">
        <v>1.4</v>
      </c>
      <c r="Q14" s="49" t="s">
        <v>61</v>
      </c>
      <c r="R14" s="49" t="s">
        <v>279</v>
      </c>
      <c r="S14" s="25">
        <v>23.36</v>
      </c>
      <c r="T14" s="26">
        <f>(J14+K14+L14)+IF((VLOOKUP(Q14,MogulsDD!$A$1:$D$1000,4,FALSE)*(M14+O14)/2)&gt;3.75,3.75,VLOOKUP(Q14,MogulsDD!$A$1:$D$1000,4,FALSE)*(M14+O14)/2)+IF((VLOOKUP(R14,MogulsDD!$A$1:$D$1000,4,FALSE)*(N14+P14)/2)&gt;3.75,3.75,VLOOKUP(R14,MogulsDD!$A$1:$D$1000,4,FALSE)*(N14+P14)/2)+IF((18-12*S14/$K$5)&gt;7.5,7.5,IF((18-12*S14/$K$5)&lt;0,0,(18-12*S14/$K$5)))</f>
        <v>14.92250989859971</v>
      </c>
      <c r="U14" s="38"/>
      <c r="V14" s="38"/>
      <c r="W14" s="38"/>
      <c r="X14" s="38"/>
      <c r="Y14" s="39"/>
      <c r="Z14" s="38"/>
      <c r="AA14" s="38"/>
      <c r="AB14" s="38"/>
      <c r="AC14" s="38"/>
      <c r="AD14" s="39"/>
      <c r="AE14" s="38"/>
      <c r="AF14" s="38"/>
      <c r="AG14" s="38"/>
      <c r="AH14" s="38"/>
      <c r="AI14" s="39"/>
      <c r="AJ14" s="44"/>
      <c r="AK14" s="39"/>
      <c r="AL14" s="37"/>
      <c r="AM14" s="37"/>
    </row>
    <row r="15" spans="1:39">
      <c r="A15" s="19">
        <f t="shared" si="0"/>
        <v>3</v>
      </c>
      <c r="B15" s="22">
        <v>86</v>
      </c>
      <c r="C15" s="22">
        <v>13</v>
      </c>
      <c r="D15" s="22" t="s">
        <v>233</v>
      </c>
      <c r="E15" s="22"/>
      <c r="F15" s="22"/>
      <c r="G15" s="22" t="s">
        <v>240</v>
      </c>
      <c r="H15" s="22" t="s">
        <v>248</v>
      </c>
      <c r="I15" s="23"/>
      <c r="J15" s="27">
        <v>2.5</v>
      </c>
      <c r="K15" s="28">
        <v>2.2999999999999998</v>
      </c>
      <c r="L15" s="28">
        <v>2.1</v>
      </c>
      <c r="M15" s="52">
        <v>0.4</v>
      </c>
      <c r="N15" s="52">
        <v>1</v>
      </c>
      <c r="O15" s="49">
        <v>0.4</v>
      </c>
      <c r="P15" s="49">
        <v>1</v>
      </c>
      <c r="Q15" s="49" t="s">
        <v>279</v>
      </c>
      <c r="R15" s="49" t="s">
        <v>276</v>
      </c>
      <c r="S15" s="25">
        <v>20.85</v>
      </c>
      <c r="T15" s="26">
        <f>(J15+K15+L15)+IF((VLOOKUP(Q15,MogulsDD!$A$1:$D$1000,4,FALSE)*(M15+O15)/2)&gt;3.75,3.75,VLOOKUP(Q15,MogulsDD!$A$1:$D$1000,4,FALSE)*(M15+O15)/2)+IF((VLOOKUP(R15,MogulsDD!$A$1:$D$1000,4,FALSE)*(N15+P15)/2)&gt;3.75,3.75,VLOOKUP(R15,MogulsDD!$A$1:$D$1000,4,FALSE)*(N15+P15)/2)+IF((18-12*S15/$K$5)&gt;7.5,7.5,IF((18-12*S15/$K$5)&lt;0,0,(18-12*S15/$K$5)))</f>
        <v>14.322879768227908</v>
      </c>
      <c r="U15" s="38"/>
      <c r="V15" s="38"/>
      <c r="W15" s="38"/>
      <c r="X15" s="38"/>
      <c r="Y15" s="39"/>
      <c r="Z15" s="38"/>
      <c r="AA15" s="38"/>
      <c r="AB15" s="38"/>
      <c r="AC15" s="38"/>
      <c r="AD15" s="39"/>
      <c r="AE15" s="38"/>
      <c r="AF15" s="38"/>
      <c r="AG15" s="38"/>
      <c r="AH15" s="38"/>
      <c r="AI15" s="39"/>
      <c r="AJ15" s="44"/>
      <c r="AK15" s="39"/>
      <c r="AL15" s="37"/>
      <c r="AM15" s="37"/>
    </row>
    <row r="16" spans="1:39">
      <c r="A16" s="19">
        <f t="shared" si="0"/>
        <v>4</v>
      </c>
      <c r="B16" s="22">
        <v>62</v>
      </c>
      <c r="C16" s="22">
        <v>10</v>
      </c>
      <c r="D16" s="22" t="s">
        <v>231</v>
      </c>
      <c r="E16" s="22"/>
      <c r="F16" s="22"/>
      <c r="G16" s="22" t="s">
        <v>240</v>
      </c>
      <c r="H16" s="99" t="s">
        <v>246</v>
      </c>
      <c r="I16" s="23"/>
      <c r="J16" s="27">
        <v>2.6</v>
      </c>
      <c r="K16" s="28">
        <v>2.5</v>
      </c>
      <c r="L16" s="28">
        <v>2.7</v>
      </c>
      <c r="M16" s="52">
        <v>1.1000000000000001</v>
      </c>
      <c r="N16" s="52">
        <v>1.1000000000000001</v>
      </c>
      <c r="O16" s="49">
        <v>1.1000000000000001</v>
      </c>
      <c r="P16" s="49">
        <v>1.2</v>
      </c>
      <c r="Q16" s="49" t="s">
        <v>279</v>
      </c>
      <c r="R16" s="49" t="s">
        <v>276</v>
      </c>
      <c r="S16" s="25">
        <v>23.95</v>
      </c>
      <c r="T16" s="26">
        <f>(J16+K16+L16)+IF((VLOOKUP(Q16,MogulsDD!$A$1:$D$1000,4,FALSE)*(M16+O16)/2)&gt;3.75,3.75,VLOOKUP(Q16,MogulsDD!$A$1:$D$1000,4,FALSE)*(M16+O16)/2)+IF((VLOOKUP(R16,MogulsDD!$A$1:$D$1000,4,FALSE)*(N16+P16)/2)&gt;3.75,3.75,VLOOKUP(R16,MogulsDD!$A$1:$D$1000,4,FALSE)*(N16+P16)/2)+IF((18-12*S16/$K$5)&gt;7.5,7.5,IF((18-12*S16/$K$5)&lt;0,0,(18-12*S16/$K$5)))</f>
        <v>14.138646064703043</v>
      </c>
      <c r="U16" s="38"/>
      <c r="V16" s="38"/>
      <c r="W16" s="38"/>
      <c r="X16" s="38"/>
      <c r="Y16" s="39"/>
      <c r="Z16" s="38"/>
      <c r="AA16" s="38"/>
      <c r="AB16" s="38"/>
      <c r="AC16" s="38"/>
      <c r="AD16" s="39"/>
      <c r="AE16" s="38"/>
      <c r="AF16" s="38"/>
      <c r="AG16" s="38"/>
      <c r="AH16" s="38"/>
      <c r="AI16" s="39"/>
      <c r="AJ16" s="44"/>
      <c r="AK16" s="39"/>
      <c r="AL16" s="37"/>
      <c r="AM16" s="37"/>
    </row>
    <row r="17" spans="1:39">
      <c r="A17" s="19">
        <f t="shared" si="0"/>
        <v>5</v>
      </c>
      <c r="B17" s="22">
        <v>93</v>
      </c>
      <c r="C17" s="22">
        <v>8</v>
      </c>
      <c r="D17" s="22" t="s">
        <v>208</v>
      </c>
      <c r="E17" s="22">
        <v>2531506</v>
      </c>
      <c r="F17" s="22" t="s">
        <v>164</v>
      </c>
      <c r="G17" s="22" t="s">
        <v>209</v>
      </c>
      <c r="H17" s="22" t="s">
        <v>210</v>
      </c>
      <c r="I17" s="23" t="s">
        <v>211</v>
      </c>
      <c r="J17" s="27">
        <v>2.4</v>
      </c>
      <c r="K17" s="28">
        <v>1.9</v>
      </c>
      <c r="L17" s="28">
        <v>2.2999999999999998</v>
      </c>
      <c r="M17" s="52">
        <v>1.4</v>
      </c>
      <c r="N17" s="52">
        <v>0.6</v>
      </c>
      <c r="O17" s="49">
        <v>1</v>
      </c>
      <c r="P17" s="49">
        <v>0.6</v>
      </c>
      <c r="Q17" s="54" t="s">
        <v>279</v>
      </c>
      <c r="R17" s="54" t="s">
        <v>287</v>
      </c>
      <c r="S17" s="25">
        <v>21.57</v>
      </c>
      <c r="T17" s="26">
        <f>(J17+K17+L17)+IF((VLOOKUP(Q17,MogulsDD!$A$1:$D$1000,4,FALSE)*(M17+O17)/2)&gt;3.75,3.75,VLOOKUP(Q17,MogulsDD!$A$1:$D$1000,4,FALSE)*(M17+O17)/2)+IF((VLOOKUP(R17,MogulsDD!$A$1:$D$1000,4,FALSE)*(N17+P17)/2)&gt;3.75,3.75,VLOOKUP(R17,MogulsDD!$A$1:$D$1000,4,FALSE)*(N17+P17)/2)+IF((18-12*S17/$K$5)&gt;7.5,7.5,IF((18-12*S17/$K$5)&lt;0,0,(18-12*S17/$K$5)))</f>
        <v>13.601690004828583</v>
      </c>
      <c r="U17" s="38"/>
      <c r="V17" s="38"/>
      <c r="W17" s="38"/>
      <c r="X17" s="38"/>
      <c r="Y17" s="39"/>
      <c r="Z17" s="38"/>
      <c r="AA17" s="38"/>
      <c r="AB17" s="38"/>
      <c r="AC17" s="38"/>
      <c r="AD17" s="39"/>
      <c r="AE17" s="38"/>
      <c r="AF17" s="38"/>
      <c r="AG17" s="38"/>
      <c r="AH17" s="38"/>
      <c r="AI17" s="39"/>
      <c r="AJ17" s="44"/>
      <c r="AK17" s="39"/>
      <c r="AL17" s="37"/>
      <c r="AM17" s="37"/>
    </row>
    <row r="18" spans="1:39" ht="13.8" thickBot="1">
      <c r="A18" s="19">
        <f t="shared" si="0"/>
        <v>6</v>
      </c>
      <c r="B18" s="14">
        <v>72</v>
      </c>
      <c r="C18" s="14">
        <v>6</v>
      </c>
      <c r="D18" s="14" t="s">
        <v>234</v>
      </c>
      <c r="E18" s="22"/>
      <c r="F18" s="14"/>
      <c r="G18" s="14" t="s">
        <v>240</v>
      </c>
      <c r="H18" s="14" t="s">
        <v>249</v>
      </c>
      <c r="I18" s="18"/>
      <c r="J18" s="29">
        <v>1.2</v>
      </c>
      <c r="K18" s="30">
        <v>1</v>
      </c>
      <c r="L18" s="30">
        <v>1.1000000000000001</v>
      </c>
      <c r="M18" s="53">
        <v>0</v>
      </c>
      <c r="N18" s="53">
        <v>0.5</v>
      </c>
      <c r="O18" s="50">
        <v>0</v>
      </c>
      <c r="P18" s="50">
        <v>0.5</v>
      </c>
      <c r="Q18" s="49" t="s">
        <v>279</v>
      </c>
      <c r="R18" s="49" t="s">
        <v>279</v>
      </c>
      <c r="S18" s="25">
        <v>26.46</v>
      </c>
      <c r="T18" s="26">
        <f>(J18+K18+L18)+IF((VLOOKUP(Q18,MogulsDD!$A$1:$D$1000,4,FALSE)*(M18+O18)/2)&gt;3.75,3.75,VLOOKUP(Q18,MogulsDD!$A$1:$D$1000,4,FALSE)*(M18+O18)/2)+IF((VLOOKUP(R18,MogulsDD!$A$1:$D$1000,4,FALSE)*(N18+P18)/2)&gt;3.75,3.75,VLOOKUP(R18,MogulsDD!$A$1:$D$1000,4,FALSE)*(N18+P18)/2)+IF((18-12*S18/$K$5)&gt;7.5,7.5,IF((18-12*S18/$K$5)&lt;0,0,(18-12*S18/$K$5)))</f>
        <v>6.3482761950748436</v>
      </c>
      <c r="U18" s="38"/>
      <c r="V18" s="38"/>
      <c r="W18" s="38"/>
      <c r="X18" s="38"/>
      <c r="Y18" s="39"/>
      <c r="Z18" s="38"/>
      <c r="AA18" s="38"/>
      <c r="AB18" s="38"/>
      <c r="AC18" s="38"/>
      <c r="AD18" s="39"/>
      <c r="AE18" s="38"/>
      <c r="AF18" s="38"/>
      <c r="AG18" s="38"/>
      <c r="AH18" s="38"/>
      <c r="AI18" s="39"/>
      <c r="AJ18" s="44"/>
      <c r="AK18" s="39"/>
      <c r="AL18" s="37"/>
      <c r="AM18" s="37"/>
    </row>
    <row r="19" spans="1:39">
      <c r="A19" s="19">
        <f t="shared" si="0"/>
        <v>7</v>
      </c>
      <c r="B19" s="22">
        <v>23</v>
      </c>
      <c r="C19" s="22">
        <v>14</v>
      </c>
      <c r="D19" s="22" t="s">
        <v>232</v>
      </c>
      <c r="E19" s="22"/>
      <c r="F19" s="22"/>
      <c r="G19" s="22" t="s">
        <v>240</v>
      </c>
      <c r="H19" s="22" t="s">
        <v>247</v>
      </c>
      <c r="I19" s="23"/>
      <c r="J19" s="24">
        <v>0.1</v>
      </c>
      <c r="K19" s="25">
        <v>0.1</v>
      </c>
      <c r="L19" s="25">
        <v>0.1</v>
      </c>
      <c r="M19" s="51">
        <v>0.1</v>
      </c>
      <c r="N19" s="51">
        <v>0</v>
      </c>
      <c r="O19" s="49">
        <v>0.1</v>
      </c>
      <c r="P19" s="49">
        <v>0</v>
      </c>
      <c r="Q19" s="49" t="s">
        <v>282</v>
      </c>
      <c r="R19" s="49" t="s">
        <v>274</v>
      </c>
      <c r="S19" s="25">
        <v>30.71</v>
      </c>
      <c r="T19" s="26">
        <f>(J19+K19+L19)+IF((VLOOKUP(Q19,MogulsDD!$A$1:$D$1000,4,FALSE)*(M19+O19)/2)&gt;3.75,3.75,VLOOKUP(Q19,MogulsDD!$A$1:$D$1000,4,FALSE)*(M19+O19)/2)+IF((VLOOKUP(R19,MogulsDD!$A$1:$D$1000,4,FALSE)*(N19+P19)/2)&gt;3.75,3.75,VLOOKUP(R19,MogulsDD!$A$1:$D$1000,4,FALSE)*(N19+P19)/2)+IF((18-12*S19/$K$5)&gt;7.5,7.5,IF((18-12*S19/$K$5)&lt;0,0,(18-12*S19/$K$5)))</f>
        <v>0.58269773056494611</v>
      </c>
      <c r="U19" s="38"/>
      <c r="V19" s="38"/>
      <c r="W19" s="38"/>
      <c r="X19" s="38"/>
      <c r="Y19" s="39"/>
      <c r="Z19" s="38"/>
      <c r="AA19" s="38"/>
      <c r="AB19" s="38"/>
      <c r="AC19" s="38"/>
      <c r="AD19" s="39"/>
      <c r="AE19" s="38"/>
      <c r="AF19" s="38"/>
      <c r="AG19" s="38"/>
      <c r="AH19" s="38"/>
      <c r="AI19" s="39"/>
      <c r="AJ19" s="44"/>
      <c r="AK19" s="39"/>
      <c r="AL19" s="37"/>
      <c r="AM19" s="37"/>
    </row>
    <row r="20" spans="1:39">
      <c r="A20" s="19">
        <f t="shared" si="0"/>
        <v>8</v>
      </c>
      <c r="B20" s="22">
        <v>124</v>
      </c>
      <c r="C20" s="22">
        <v>12</v>
      </c>
      <c r="D20" s="22" t="s">
        <v>241</v>
      </c>
      <c r="E20" s="22"/>
      <c r="F20" s="22">
        <v>22352</v>
      </c>
      <c r="G20" s="22" t="s">
        <v>122</v>
      </c>
      <c r="H20" s="22" t="s">
        <v>127</v>
      </c>
      <c r="I20" s="23" t="s">
        <v>128</v>
      </c>
      <c r="J20" s="27">
        <v>0</v>
      </c>
      <c r="K20" s="28">
        <v>0</v>
      </c>
      <c r="L20" s="28">
        <v>0</v>
      </c>
      <c r="M20" s="52">
        <v>0</v>
      </c>
      <c r="N20" s="52">
        <v>0</v>
      </c>
      <c r="O20" s="49">
        <v>0</v>
      </c>
      <c r="P20" s="49">
        <v>0</v>
      </c>
      <c r="Q20" s="49" t="s">
        <v>63</v>
      </c>
      <c r="R20" s="49" t="s">
        <v>63</v>
      </c>
      <c r="S20" s="25">
        <v>9999</v>
      </c>
      <c r="T20" s="26">
        <f>(J20+K20+L20)+IF((VLOOKUP(Q20,MogulsDD!$A$1:$D$1000,4,FALSE)*(M20+O20)/2)&gt;3.75,3.75,VLOOKUP(Q20,MogulsDD!$A$1:$D$1000,4,FALSE)*(M20+O20)/2)+IF((VLOOKUP(R20,MogulsDD!$A$1:$D$1000,4,FALSE)*(N20+P20)/2)&gt;3.75,3.75,VLOOKUP(R20,MogulsDD!$A$1:$D$1000,4,FALSE)*(N20+P20)/2)+IF((18-12*S20/$K$5)&gt;7.5,7.5,IF((18-12*S20/$K$5)&lt;0,0,(18-12*S20/$K$5)))</f>
        <v>0</v>
      </c>
      <c r="U20" s="38"/>
      <c r="V20" s="38"/>
      <c r="W20" s="38"/>
      <c r="X20" s="38"/>
      <c r="Y20" s="39"/>
      <c r="Z20" s="38"/>
      <c r="AA20" s="38"/>
      <c r="AB20" s="38"/>
      <c r="AC20" s="38"/>
      <c r="AD20" s="39"/>
      <c r="AE20" s="38"/>
      <c r="AF20" s="38"/>
      <c r="AG20" s="38"/>
      <c r="AH20" s="38"/>
      <c r="AI20" s="39"/>
      <c r="AJ20" s="44"/>
      <c r="AK20" s="39"/>
      <c r="AL20" s="37"/>
      <c r="AM20" s="37"/>
    </row>
    <row r="21" spans="1:39">
      <c r="A21" s="19">
        <f t="shared" si="0"/>
        <v>8</v>
      </c>
      <c r="B21" s="22"/>
      <c r="C21" s="22"/>
      <c r="D21" s="22"/>
      <c r="E21" s="22"/>
      <c r="F21" s="22"/>
      <c r="G21" s="22"/>
      <c r="H21" s="22"/>
      <c r="I21" s="23"/>
      <c r="J21" s="27"/>
      <c r="K21" s="28"/>
      <c r="L21" s="28"/>
      <c r="M21" s="52"/>
      <c r="N21" s="52"/>
      <c r="O21" s="49"/>
      <c r="P21" s="49"/>
      <c r="Q21" s="49" t="s">
        <v>63</v>
      </c>
      <c r="R21" s="49" t="s">
        <v>63</v>
      </c>
      <c r="S21" s="25">
        <v>9999</v>
      </c>
      <c r="T21" s="26">
        <f>(J21+K21+L21)+IF((VLOOKUP(Q21,MogulsDD!$A$1:$D$1000,4,FALSE)*(M21+O21)/2)&gt;3.75,3.75,VLOOKUP(Q21,MogulsDD!$A$1:$D$1000,4,FALSE)*(M21+O21)/2)+IF((VLOOKUP(R21,MogulsDD!$A$1:$D$1000,4,FALSE)*(N21+P21)/2)&gt;3.75,3.75,VLOOKUP(R21,MogulsDD!$A$1:$D$1000,4,FALSE)*(N21+P21)/2)+IF((18-12*S21/$K$5)&gt;7.5,7.5,IF((18-12*S21/$K$5)&lt;0,0,(18-12*S21/$K$5)))</f>
        <v>0</v>
      </c>
      <c r="U21" s="38"/>
      <c r="V21" s="38"/>
      <c r="W21" s="38"/>
      <c r="X21" s="38"/>
      <c r="Y21" s="39"/>
      <c r="Z21" s="38"/>
      <c r="AA21" s="38"/>
      <c r="AB21" s="38"/>
      <c r="AC21" s="38"/>
      <c r="AD21" s="39"/>
      <c r="AE21" s="38"/>
      <c r="AF21" s="38"/>
      <c r="AG21" s="38"/>
      <c r="AH21" s="38"/>
      <c r="AI21" s="39"/>
      <c r="AJ21" s="44"/>
      <c r="AK21" s="39"/>
      <c r="AL21" s="37"/>
      <c r="AM21" s="37"/>
    </row>
    <row r="22" spans="1:39" ht="13.8" thickBot="1">
      <c r="A22" s="7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47"/>
      <c r="U22" s="38"/>
      <c r="V22" s="38"/>
      <c r="W22" s="38"/>
      <c r="X22" s="38"/>
      <c r="Y22" s="39"/>
      <c r="Z22" s="38"/>
      <c r="AA22" s="38"/>
      <c r="AB22" s="38"/>
      <c r="AC22" s="38"/>
      <c r="AD22" s="38"/>
      <c r="AE22" s="38"/>
      <c r="AF22" s="38"/>
      <c r="AG22" s="38"/>
      <c r="AH22" s="38"/>
      <c r="AI22" s="39"/>
      <c r="AJ22" s="38"/>
      <c r="AK22" s="39"/>
      <c r="AL22" s="37"/>
      <c r="AM22" s="37"/>
    </row>
    <row r="23" spans="1:39" ht="13.8" thickBot="1">
      <c r="A23" s="12"/>
      <c r="B23" s="11"/>
      <c r="C23" s="9"/>
      <c r="D23" s="9"/>
      <c r="E23" s="31" t="s">
        <v>229</v>
      </c>
      <c r="F23" s="9"/>
      <c r="G23" s="9"/>
      <c r="H23" s="9"/>
      <c r="I23" s="10"/>
      <c r="J23" s="21"/>
      <c r="K23" s="9"/>
      <c r="L23" s="9"/>
      <c r="M23" s="9"/>
      <c r="N23" s="9"/>
      <c r="O23" s="9"/>
      <c r="P23" s="9"/>
      <c r="Q23" s="9"/>
      <c r="R23" s="9"/>
      <c r="S23" s="9"/>
      <c r="T23" s="48"/>
      <c r="U23" s="38"/>
      <c r="V23" s="38"/>
      <c r="W23" s="38"/>
      <c r="X23" s="38"/>
      <c r="Y23" s="38"/>
      <c r="Z23" s="38"/>
      <c r="AA23" s="38"/>
      <c r="AB23" s="38"/>
      <c r="AC23" s="38"/>
      <c r="AD23" s="40"/>
      <c r="AE23" s="38"/>
      <c r="AF23" s="38"/>
      <c r="AG23" s="38"/>
      <c r="AH23" s="38"/>
      <c r="AI23" s="40"/>
      <c r="AJ23" s="38"/>
      <c r="AK23" s="39"/>
      <c r="AL23" s="37"/>
      <c r="AM23" s="37"/>
    </row>
    <row r="24" spans="1:39" ht="13.8" thickBot="1">
      <c r="A24" s="2"/>
      <c r="B24" s="3" t="s">
        <v>1</v>
      </c>
      <c r="C24" s="3" t="s">
        <v>252</v>
      </c>
      <c r="D24" s="3" t="s">
        <v>111</v>
      </c>
      <c r="E24" s="3" t="s">
        <v>238</v>
      </c>
      <c r="F24" s="3" t="s">
        <v>101</v>
      </c>
      <c r="G24" s="3" t="s">
        <v>3</v>
      </c>
      <c r="H24" s="3" t="s">
        <v>4</v>
      </c>
      <c r="I24" s="4" t="s">
        <v>5</v>
      </c>
      <c r="J24" s="2" t="s">
        <v>11</v>
      </c>
      <c r="K24" s="3" t="s">
        <v>12</v>
      </c>
      <c r="L24" s="3" t="s">
        <v>15</v>
      </c>
      <c r="M24" s="3" t="s">
        <v>66</v>
      </c>
      <c r="N24" s="3" t="s">
        <v>65</v>
      </c>
      <c r="O24" s="3" t="s">
        <v>67</v>
      </c>
      <c r="P24" s="3" t="s">
        <v>68</v>
      </c>
      <c r="Q24" s="3" t="s">
        <v>59</v>
      </c>
      <c r="R24" s="3" t="s">
        <v>60</v>
      </c>
      <c r="S24" s="3"/>
      <c r="T24" s="46" t="s">
        <v>14</v>
      </c>
      <c r="U24" s="41"/>
      <c r="V24" s="41"/>
      <c r="W24" s="41"/>
      <c r="X24" s="41"/>
      <c r="Y24" s="42"/>
      <c r="Z24" s="41"/>
      <c r="AA24" s="41"/>
      <c r="AB24" s="41"/>
      <c r="AC24" s="41"/>
      <c r="AD24" s="42"/>
      <c r="AE24" s="41"/>
      <c r="AF24" s="41"/>
      <c r="AG24" s="41"/>
      <c r="AH24" s="41"/>
      <c r="AI24" s="42"/>
      <c r="AJ24" s="43"/>
      <c r="AK24" s="39"/>
      <c r="AL24" s="37"/>
      <c r="AM24" s="37"/>
    </row>
    <row r="25" spans="1:39">
      <c r="A25" s="19">
        <f t="shared" ref="A25:A42" si="1">RANK(T25,$T$25:$T$42,0)</f>
        <v>1</v>
      </c>
      <c r="B25" s="32">
        <v>95</v>
      </c>
      <c r="C25" s="22">
        <v>11</v>
      </c>
      <c r="D25" s="22" t="s">
        <v>134</v>
      </c>
      <c r="E25" s="22"/>
      <c r="F25" s="22" t="s">
        <v>135</v>
      </c>
      <c r="G25" s="22" t="s">
        <v>138</v>
      </c>
      <c r="H25" s="22" t="s">
        <v>136</v>
      </c>
      <c r="I25" s="23" t="s">
        <v>137</v>
      </c>
      <c r="J25" s="24">
        <v>4.2</v>
      </c>
      <c r="K25" s="25">
        <v>4.2</v>
      </c>
      <c r="L25" s="25">
        <v>4.4000000000000004</v>
      </c>
      <c r="M25" s="51">
        <v>1.9</v>
      </c>
      <c r="N25" s="51">
        <v>2</v>
      </c>
      <c r="O25" s="49">
        <v>2</v>
      </c>
      <c r="P25" s="49">
        <v>2</v>
      </c>
      <c r="Q25" s="49" t="s">
        <v>61</v>
      </c>
      <c r="R25" s="49" t="s">
        <v>284</v>
      </c>
      <c r="S25" s="25">
        <v>20.68</v>
      </c>
      <c r="T25" s="26">
        <f>(J25+K25+L25)+IF((VLOOKUP(Q25,MogulsDD!$A$1:$C$1000,3,FALSE)*(M25+O25)/2)&gt;3.75,3.75,VLOOKUP(Q25,MogulsDD!$A$1:$C$1000,3,FALSE)*(M25+O25)/2)+IF((VLOOKUP(R25,MogulsDD!$A$1:$C$1000,3,FALSE)*(N25+P25)/2)&gt;3.75,3.75,VLOOKUP(R25,MogulsDD!$A$1:$C$1000,3,FALSE)*(N25+P25)/2)+IF((18-12*S25/$J$5)&gt;7.5,7.5,IF((18-12*S25/$J$5)&lt;0,0,(18-12*S25/$J$5)))</f>
        <v>20.823424871940809</v>
      </c>
      <c r="U25" s="38"/>
      <c r="V25" s="38"/>
      <c r="W25" s="38"/>
      <c r="X25" s="38"/>
      <c r="Y25" s="39"/>
      <c r="Z25" s="38"/>
      <c r="AA25" s="38"/>
      <c r="AB25" s="38"/>
      <c r="AC25" s="38"/>
      <c r="AD25" s="39"/>
      <c r="AE25" s="38"/>
      <c r="AF25" s="38"/>
      <c r="AG25" s="38"/>
      <c r="AH25" s="38"/>
      <c r="AI25" s="39"/>
      <c r="AJ25" s="44"/>
      <c r="AK25" s="39"/>
      <c r="AL25" s="37"/>
      <c r="AM25" s="37"/>
    </row>
    <row r="26" spans="1:39">
      <c r="A26" s="19">
        <f t="shared" si="1"/>
        <v>2</v>
      </c>
      <c r="B26" s="32">
        <v>97</v>
      </c>
      <c r="C26" s="22">
        <v>22</v>
      </c>
      <c r="D26" s="22" t="s">
        <v>159</v>
      </c>
      <c r="E26" s="22"/>
      <c r="F26" s="22" t="s">
        <v>160</v>
      </c>
      <c r="G26" s="22" t="s">
        <v>122</v>
      </c>
      <c r="H26" s="22" t="s">
        <v>161</v>
      </c>
      <c r="I26" s="23" t="s">
        <v>162</v>
      </c>
      <c r="J26" s="27">
        <v>3.8</v>
      </c>
      <c r="K26" s="28">
        <v>3.8</v>
      </c>
      <c r="L26" s="28">
        <v>4</v>
      </c>
      <c r="M26" s="52">
        <v>1.9</v>
      </c>
      <c r="N26" s="52">
        <v>1.1000000000000001</v>
      </c>
      <c r="O26" s="49">
        <v>1.8</v>
      </c>
      <c r="P26" s="49">
        <v>1.1000000000000001</v>
      </c>
      <c r="Q26" s="49" t="s">
        <v>286</v>
      </c>
      <c r="R26" s="49" t="s">
        <v>284</v>
      </c>
      <c r="S26" s="25">
        <v>19.13</v>
      </c>
      <c r="T26" s="26">
        <f>(J26+K26+L26)+IF((VLOOKUP(Q26,MogulsDD!$A$1:$C$1000,3,FALSE)*(M26+O26)/2)&gt;3.75,3.75,VLOOKUP(Q26,MogulsDD!$A$1:$C$1000,3,FALSE)*(M26+O26)/2)+IF((VLOOKUP(R26,MogulsDD!$A$1:$C$1000,3,FALSE)*(N26+P26)/2)&gt;3.75,3.75,VLOOKUP(R26,MogulsDD!$A$1:$C$1000,3,FALSE)*(N26+P26)/2)+IF((18-12*S26/$J$5)&gt;7.5,7.5,IF((18-12*S26/$J$5)&lt;0,0,(18-12*S26/$J$5)))</f>
        <v>19.706047524188961</v>
      </c>
      <c r="U26" s="38"/>
      <c r="V26" s="38"/>
      <c r="W26" s="38"/>
      <c r="X26" s="38"/>
      <c r="Y26" s="39"/>
      <c r="Z26" s="38"/>
      <c r="AA26" s="38"/>
      <c r="AB26" s="38"/>
      <c r="AC26" s="38"/>
      <c r="AD26" s="39"/>
      <c r="AE26" s="38"/>
      <c r="AF26" s="38"/>
      <c r="AG26" s="38"/>
      <c r="AH26" s="38"/>
      <c r="AI26" s="39"/>
      <c r="AJ26" s="44"/>
      <c r="AK26" s="39"/>
      <c r="AL26" s="37"/>
      <c r="AM26" s="37"/>
    </row>
    <row r="27" spans="1:39">
      <c r="A27" s="19">
        <f t="shared" si="1"/>
        <v>3</v>
      </c>
      <c r="B27" s="32">
        <v>18</v>
      </c>
      <c r="C27" s="22">
        <v>13</v>
      </c>
      <c r="D27" s="22" t="s">
        <v>123</v>
      </c>
      <c r="E27" s="22">
        <v>2531086</v>
      </c>
      <c r="F27" s="22" t="s">
        <v>124</v>
      </c>
      <c r="G27" s="22" t="s">
        <v>122</v>
      </c>
      <c r="H27" s="22" t="s">
        <v>125</v>
      </c>
      <c r="I27" s="23" t="s">
        <v>126</v>
      </c>
      <c r="J27" s="27">
        <v>3.5</v>
      </c>
      <c r="K27" s="28">
        <v>3.6</v>
      </c>
      <c r="L27" s="28">
        <v>3.8</v>
      </c>
      <c r="M27" s="52">
        <v>1.7</v>
      </c>
      <c r="N27" s="52">
        <v>1.7</v>
      </c>
      <c r="O27" s="49">
        <v>1.6</v>
      </c>
      <c r="P27" s="49">
        <v>1.5</v>
      </c>
      <c r="Q27" s="49" t="s">
        <v>270</v>
      </c>
      <c r="R27" s="49" t="s">
        <v>286</v>
      </c>
      <c r="S27" s="25">
        <v>20.47</v>
      </c>
      <c r="T27" s="26">
        <f>(J27+K27+L27)+IF((VLOOKUP(Q27,MogulsDD!$A$1:$C$1000,3,FALSE)*(M27+O27)/2)&gt;3.75,3.75,VLOOKUP(Q27,MogulsDD!$A$1:$C$1000,3,FALSE)*(M27+O27)/2)+IF((VLOOKUP(R27,MogulsDD!$A$1:$C$1000,3,FALSE)*(N27+P27)/2)&gt;3.75,3.75,VLOOKUP(R27,MogulsDD!$A$1:$C$1000,3,FALSE)*(N27+P27)/2)+IF((18-12*S27/$J$5)&gt;7.5,7.5,IF((18-12*S27/$J$5)&lt;0,0,(18-12*S27/$J$5)))</f>
        <v>18.395851166761524</v>
      </c>
      <c r="U27" s="38"/>
      <c r="V27" s="38"/>
      <c r="W27" s="38"/>
      <c r="X27" s="38"/>
      <c r="Y27" s="39"/>
      <c r="Z27" s="38"/>
      <c r="AA27" s="38"/>
      <c r="AB27" s="38"/>
      <c r="AC27" s="38"/>
      <c r="AD27" s="39"/>
      <c r="AE27" s="38"/>
      <c r="AF27" s="38"/>
      <c r="AG27" s="38"/>
      <c r="AH27" s="38"/>
      <c r="AI27" s="39"/>
      <c r="AJ27" s="44"/>
      <c r="AK27" s="39"/>
      <c r="AL27" s="37"/>
      <c r="AM27" s="37"/>
    </row>
    <row r="28" spans="1:39">
      <c r="A28" s="19">
        <f t="shared" si="1"/>
        <v>4</v>
      </c>
      <c r="B28" s="32">
        <v>44</v>
      </c>
      <c r="C28" s="22">
        <v>3</v>
      </c>
      <c r="D28" s="22" t="s">
        <v>110</v>
      </c>
      <c r="E28" s="22">
        <v>2531950</v>
      </c>
      <c r="F28" s="22" t="s">
        <v>106</v>
      </c>
      <c r="G28" s="22" t="s">
        <v>122</v>
      </c>
      <c r="H28" s="22" t="s">
        <v>102</v>
      </c>
      <c r="I28" s="23" t="s">
        <v>103</v>
      </c>
      <c r="J28" s="27">
        <v>3.6</v>
      </c>
      <c r="K28" s="28">
        <v>3.3</v>
      </c>
      <c r="L28" s="28">
        <v>3.5</v>
      </c>
      <c r="M28" s="52">
        <v>1.1000000000000001</v>
      </c>
      <c r="N28" s="52">
        <v>1.3</v>
      </c>
      <c r="O28" s="49">
        <v>1.1000000000000001</v>
      </c>
      <c r="P28" s="49">
        <v>1.5</v>
      </c>
      <c r="Q28" s="49" t="s">
        <v>61</v>
      </c>
      <c r="R28" s="49" t="s">
        <v>272</v>
      </c>
      <c r="S28" s="25">
        <v>19.260000000000002</v>
      </c>
      <c r="T28" s="26">
        <f>(J28+K28+L28)+IF((VLOOKUP(Q28,MogulsDD!$A$1:$C$1000,3,FALSE)*(M28+O28)/2)&gt;3.75,3.75,VLOOKUP(Q28,MogulsDD!$A$1:$C$1000,3,FALSE)*(M28+O28)/2)+IF((VLOOKUP(R28,MogulsDD!$A$1:$C$1000,3,FALSE)*(N28+P28)/2)&gt;3.75,3.75,VLOOKUP(R28,MogulsDD!$A$1:$C$1000,3,FALSE)*(N28+P28)/2)+IF((18-12*S28/$J$5)&gt;7.5,7.5,IF((18-12*S28/$J$5)&lt;0,0,(18-12*S28/$J$5)))</f>
        <v>17.940759817871371</v>
      </c>
      <c r="U28" s="38"/>
      <c r="V28" s="38"/>
      <c r="W28" s="38"/>
      <c r="X28" s="38"/>
      <c r="Y28" s="39"/>
      <c r="Z28" s="38"/>
      <c r="AA28" s="38"/>
      <c r="AB28" s="38"/>
      <c r="AC28" s="38"/>
      <c r="AD28" s="39"/>
      <c r="AE28" s="38"/>
      <c r="AF28" s="38"/>
      <c r="AG28" s="38"/>
      <c r="AH28" s="38"/>
      <c r="AI28" s="39"/>
      <c r="AJ28" s="44"/>
      <c r="AK28" s="39"/>
      <c r="AL28" s="37"/>
      <c r="AM28" s="37"/>
    </row>
    <row r="29" spans="1:39">
      <c r="A29" s="19">
        <f t="shared" si="1"/>
        <v>5</v>
      </c>
      <c r="B29" s="32">
        <v>104</v>
      </c>
      <c r="C29" s="22">
        <v>17</v>
      </c>
      <c r="D29" s="22" t="s">
        <v>112</v>
      </c>
      <c r="E29" s="22">
        <v>2530279</v>
      </c>
      <c r="F29" s="22" t="s">
        <v>113</v>
      </c>
      <c r="G29" s="22" t="s">
        <v>122</v>
      </c>
      <c r="H29" s="22" t="s">
        <v>114</v>
      </c>
      <c r="I29" s="23" t="s">
        <v>115</v>
      </c>
      <c r="J29" s="27">
        <v>3.2</v>
      </c>
      <c r="K29" s="28">
        <v>3.4</v>
      </c>
      <c r="L29" s="28">
        <v>3.6</v>
      </c>
      <c r="M29" s="52">
        <v>1.6</v>
      </c>
      <c r="N29" s="52">
        <v>1.3</v>
      </c>
      <c r="O29" s="49">
        <v>1.6</v>
      </c>
      <c r="P29" s="49">
        <v>1.4</v>
      </c>
      <c r="Q29" s="49" t="s">
        <v>61</v>
      </c>
      <c r="R29" s="49" t="s">
        <v>286</v>
      </c>
      <c r="S29" s="25">
        <v>20.3</v>
      </c>
      <c r="T29" s="26">
        <f>(J29+K29+L29)+IF((VLOOKUP(Q29,MogulsDD!$A$1:$C$1000,3,FALSE)*(M29+O29)/2)&gt;3.75,3.75,VLOOKUP(Q29,MogulsDD!$A$1:$C$1000,3,FALSE)*(M29+O29)/2)+IF((VLOOKUP(R29,MogulsDD!$A$1:$C$1000,3,FALSE)*(N29+P29)/2)&gt;3.75,3.75,VLOOKUP(R29,MogulsDD!$A$1:$C$1000,3,FALSE)*(N29+P29)/2)+IF((18-12*S29/$J$5)&gt;7.5,7.5,IF((18-12*S29/$J$5)&lt;0,0,(18-12*S29/$J$5)))</f>
        <v>17.486958167330677</v>
      </c>
      <c r="U29" s="38"/>
      <c r="V29" s="38"/>
      <c r="W29" s="38"/>
      <c r="X29" s="38"/>
      <c r="Y29" s="39"/>
      <c r="Z29" s="38"/>
      <c r="AA29" s="38"/>
      <c r="AB29" s="38"/>
      <c r="AC29" s="38"/>
      <c r="AD29" s="39"/>
      <c r="AE29" s="38"/>
      <c r="AF29" s="38"/>
      <c r="AG29" s="38"/>
      <c r="AH29" s="38"/>
      <c r="AI29" s="39"/>
      <c r="AJ29" s="44"/>
      <c r="AK29" s="39"/>
      <c r="AL29" s="37"/>
      <c r="AM29" s="37"/>
    </row>
    <row r="30" spans="1:39">
      <c r="A30" s="19">
        <f t="shared" si="1"/>
        <v>6</v>
      </c>
      <c r="B30" s="32">
        <v>3</v>
      </c>
      <c r="C30" s="22">
        <v>6</v>
      </c>
      <c r="D30" s="22" t="s">
        <v>156</v>
      </c>
      <c r="E30" s="22">
        <v>2532116</v>
      </c>
      <c r="F30" s="22" t="s">
        <v>157</v>
      </c>
      <c r="G30" s="22" t="s">
        <v>122</v>
      </c>
      <c r="H30" s="22" t="s">
        <v>158</v>
      </c>
      <c r="I30" s="23" t="s">
        <v>128</v>
      </c>
      <c r="J30" s="108">
        <v>3.5</v>
      </c>
      <c r="K30" s="109">
        <v>3.4</v>
      </c>
      <c r="L30" s="109">
        <v>3.5</v>
      </c>
      <c r="M30" s="110">
        <v>1.7</v>
      </c>
      <c r="N30" s="110">
        <v>1</v>
      </c>
      <c r="O30" s="56">
        <v>1.8</v>
      </c>
      <c r="P30" s="56">
        <v>0.6</v>
      </c>
      <c r="Q30" s="49" t="s">
        <v>282</v>
      </c>
      <c r="R30" s="49" t="s">
        <v>273</v>
      </c>
      <c r="S30" s="25">
        <v>20.54</v>
      </c>
      <c r="T30" s="26">
        <f>(J30+K30+L30)+IF((VLOOKUP(Q30,MogulsDD!$A$1:$C$1000,3,FALSE)*(M30+O30)/2)&gt;3.75,3.75,VLOOKUP(Q30,MogulsDD!$A$1:$C$1000,3,FALSE)*(M30+O30)/2)+IF((VLOOKUP(R30,MogulsDD!$A$1:$C$1000,3,FALSE)*(N30+P30)/2)&gt;3.75,3.75,VLOOKUP(R30,MogulsDD!$A$1:$C$1000,3,FALSE)*(N30+P30)/2)+IF((18-12*S30/$J$5)&gt;7.5,7.5,IF((18-12*S30/$J$5)&lt;0,0,(18-12*S30/$J$5)))</f>
        <v>16.056542401821286</v>
      </c>
      <c r="U30" s="38"/>
      <c r="V30" s="38"/>
      <c r="W30" s="38"/>
      <c r="X30" s="38"/>
      <c r="Y30" s="39"/>
      <c r="Z30" s="38"/>
      <c r="AA30" s="38"/>
      <c r="AB30" s="38"/>
      <c r="AC30" s="38"/>
      <c r="AD30" s="39"/>
      <c r="AE30" s="38"/>
      <c r="AF30" s="38"/>
      <c r="AG30" s="38"/>
      <c r="AH30" s="38"/>
      <c r="AI30" s="39"/>
      <c r="AJ30" s="44"/>
      <c r="AK30" s="39"/>
      <c r="AL30" s="37"/>
      <c r="AM30" s="37"/>
    </row>
    <row r="31" spans="1:39">
      <c r="A31" s="19">
        <f t="shared" si="1"/>
        <v>7</v>
      </c>
      <c r="B31" s="32">
        <v>109</v>
      </c>
      <c r="C31" s="22">
        <v>18</v>
      </c>
      <c r="D31" s="22" t="s">
        <v>199</v>
      </c>
      <c r="E31" s="22"/>
      <c r="F31" s="22" t="s">
        <v>200</v>
      </c>
      <c r="G31" s="22" t="s">
        <v>122</v>
      </c>
      <c r="H31" s="22" t="s">
        <v>201</v>
      </c>
      <c r="I31" s="23" t="s">
        <v>202</v>
      </c>
      <c r="J31" s="27">
        <v>2.5</v>
      </c>
      <c r="K31" s="28">
        <v>2.4</v>
      </c>
      <c r="L31" s="28">
        <v>2.4</v>
      </c>
      <c r="M31" s="52">
        <v>1.8</v>
      </c>
      <c r="N31" s="52">
        <v>1.3</v>
      </c>
      <c r="O31" s="49">
        <v>2.1</v>
      </c>
      <c r="P31" s="49">
        <v>1.5</v>
      </c>
      <c r="Q31" s="49" t="s">
        <v>284</v>
      </c>
      <c r="R31" s="49" t="s">
        <v>27</v>
      </c>
      <c r="S31" s="25">
        <v>21.01</v>
      </c>
      <c r="T31" s="26">
        <f>(J31+K31+L31)+IF((VLOOKUP(Q31,MogulsDD!$A$1:$C$1000,3,FALSE)*(M31+O31)/2)&gt;3.75,3.75,VLOOKUP(Q31,MogulsDD!$A$1:$C$1000,3,FALSE)*(M31+O31)/2)+IF((VLOOKUP(R31,MogulsDD!$A$1:$C$1000,3,FALSE)*(N31+P31)/2)&gt;3.75,3.75,VLOOKUP(R31,MogulsDD!$A$1:$C$1000,3,FALSE)*(N31+P31)/2)+IF((18-12*S31/$J$5)&gt;7.5,7.5,IF((18-12*S31/$J$5)&lt;0,0,(18-12*S31/$J$5)))</f>
        <v>14.468040694365396</v>
      </c>
      <c r="U31" s="38"/>
      <c r="V31" s="38"/>
      <c r="W31" s="38"/>
      <c r="X31" s="38"/>
      <c r="Y31" s="39"/>
      <c r="Z31" s="38"/>
      <c r="AA31" s="38"/>
      <c r="AB31" s="38"/>
      <c r="AC31" s="38"/>
      <c r="AD31" s="39"/>
      <c r="AE31" s="38"/>
      <c r="AF31" s="38"/>
      <c r="AG31" s="38"/>
      <c r="AH31" s="38"/>
      <c r="AI31" s="39"/>
      <c r="AJ31" s="44"/>
      <c r="AK31" s="39"/>
      <c r="AL31" s="37"/>
      <c r="AM31" s="37"/>
    </row>
    <row r="32" spans="1:39">
      <c r="A32" s="19">
        <f t="shared" si="1"/>
        <v>8</v>
      </c>
      <c r="B32" s="32">
        <v>17</v>
      </c>
      <c r="C32" s="22">
        <v>10</v>
      </c>
      <c r="D32" s="22" t="s">
        <v>166</v>
      </c>
      <c r="E32" s="22"/>
      <c r="F32" s="22" t="s">
        <v>164</v>
      </c>
      <c r="G32" s="22" t="s">
        <v>209</v>
      </c>
      <c r="H32" s="22" t="s">
        <v>167</v>
      </c>
      <c r="I32" s="23" t="s">
        <v>133</v>
      </c>
      <c r="J32" s="27">
        <v>2.9</v>
      </c>
      <c r="K32" s="28">
        <v>2.8</v>
      </c>
      <c r="L32" s="28">
        <v>2.7</v>
      </c>
      <c r="M32" s="52">
        <v>1.8</v>
      </c>
      <c r="N32" s="52">
        <v>0</v>
      </c>
      <c r="O32" s="49">
        <v>1.9</v>
      </c>
      <c r="P32" s="49">
        <v>0</v>
      </c>
      <c r="Q32" s="49" t="s">
        <v>279</v>
      </c>
      <c r="R32" s="49" t="s">
        <v>281</v>
      </c>
      <c r="S32" s="25">
        <v>20.57</v>
      </c>
      <c r="T32" s="26">
        <f>(J32+K32+L32)+IF((VLOOKUP(Q32,MogulsDD!$A$1:$C$1000,3,FALSE)*(M32+O32)/2)&gt;3.75,3.75,VLOOKUP(Q32,MogulsDD!$A$1:$C$1000,3,FALSE)*(M32+O32)/2)+IF((VLOOKUP(R32,MogulsDD!$A$1:$C$1000,3,FALSE)*(N32+P32)/2)&gt;3.75,3.75,VLOOKUP(R32,MogulsDD!$A$1:$C$1000,3,FALSE)*(N32+P32)/2)+IF((18-12*S32/$J$5)&gt;7.5,7.5,IF((18-12*S32/$J$5)&lt;0,0,(18-12*S32/$J$5)))</f>
        <v>13.479552931132611</v>
      </c>
      <c r="U32" s="38"/>
      <c r="V32" s="38"/>
      <c r="W32" s="38"/>
      <c r="X32" s="38"/>
      <c r="Y32" s="39"/>
      <c r="Z32" s="38"/>
      <c r="AA32" s="38"/>
      <c r="AB32" s="38"/>
      <c r="AC32" s="38"/>
      <c r="AD32" s="39"/>
      <c r="AE32" s="38"/>
      <c r="AF32" s="38"/>
      <c r="AG32" s="38"/>
      <c r="AH32" s="38"/>
      <c r="AI32" s="39"/>
      <c r="AJ32" s="44"/>
      <c r="AK32" s="39"/>
      <c r="AL32" s="37"/>
      <c r="AM32" s="37"/>
    </row>
    <row r="33" spans="1:39">
      <c r="A33" s="19">
        <f t="shared" si="1"/>
        <v>9</v>
      </c>
      <c r="B33" s="32">
        <v>25</v>
      </c>
      <c r="C33" s="22">
        <v>16</v>
      </c>
      <c r="D33" s="22" t="s">
        <v>130</v>
      </c>
      <c r="E33" s="22"/>
      <c r="F33" s="22" t="s">
        <v>131</v>
      </c>
      <c r="G33" s="22" t="s">
        <v>122</v>
      </c>
      <c r="H33" s="22" t="s">
        <v>132</v>
      </c>
      <c r="I33" s="23" t="s">
        <v>133</v>
      </c>
      <c r="J33" s="27">
        <v>2.6</v>
      </c>
      <c r="K33" s="28">
        <v>2.8</v>
      </c>
      <c r="L33" s="28">
        <v>2.9</v>
      </c>
      <c r="M33" s="52">
        <v>1.4</v>
      </c>
      <c r="N33" s="52">
        <v>1.4</v>
      </c>
      <c r="O33" s="49">
        <v>1.5</v>
      </c>
      <c r="P33" s="49">
        <v>1.5</v>
      </c>
      <c r="Q33" s="49" t="s">
        <v>276</v>
      </c>
      <c r="R33" s="49" t="s">
        <v>61</v>
      </c>
      <c r="S33" s="25">
        <v>23.57</v>
      </c>
      <c r="T33" s="26">
        <f>(J33+K33+L33)+IF((VLOOKUP(Q33,MogulsDD!$A$1:$C$1000,3,FALSE)*(M33+O33)/2)&gt;3.75,3.75,VLOOKUP(Q33,MogulsDD!$A$1:$C$1000,3,FALSE)*(M33+O33)/2)+IF((VLOOKUP(R33,MogulsDD!$A$1:$C$1000,3,FALSE)*(N33+P33)/2)&gt;3.75,3.75,VLOOKUP(R33,MogulsDD!$A$1:$C$1000,3,FALSE)*(N33+P33)/2)+IF((18-12*S33/$J$5)&gt;7.5,7.5,IF((18-12*S33/$J$5)&lt;0,0,(18-12*S33/$J$5)))</f>
        <v>13.247105862265226</v>
      </c>
      <c r="U33" s="38"/>
      <c r="V33" s="38"/>
      <c r="W33" s="38"/>
      <c r="X33" s="38"/>
      <c r="Y33" s="39"/>
      <c r="Z33" s="38"/>
      <c r="AA33" s="38"/>
      <c r="AB33" s="38"/>
      <c r="AC33" s="38"/>
      <c r="AD33" s="39"/>
      <c r="AE33" s="38"/>
      <c r="AF33" s="38"/>
      <c r="AG33" s="38"/>
      <c r="AH33" s="38"/>
      <c r="AI33" s="39"/>
      <c r="AJ33" s="44"/>
      <c r="AK33" s="39"/>
      <c r="AL33" s="37"/>
      <c r="AM33" s="37"/>
    </row>
    <row r="34" spans="1:39">
      <c r="A34" s="19">
        <f t="shared" si="1"/>
        <v>10</v>
      </c>
      <c r="B34" s="32">
        <v>36</v>
      </c>
      <c r="C34" s="22">
        <v>12</v>
      </c>
      <c r="D34" s="22" t="s">
        <v>188</v>
      </c>
      <c r="E34" s="22"/>
      <c r="F34" s="22" t="s">
        <v>189</v>
      </c>
      <c r="G34" s="22" t="s">
        <v>122</v>
      </c>
      <c r="H34" s="22" t="s">
        <v>190</v>
      </c>
      <c r="I34" s="23" t="s">
        <v>121</v>
      </c>
      <c r="J34" s="27">
        <v>1.8</v>
      </c>
      <c r="K34" s="28">
        <v>1.8</v>
      </c>
      <c r="L34" s="28">
        <v>2.1</v>
      </c>
      <c r="M34" s="52">
        <v>1.3</v>
      </c>
      <c r="N34" s="52">
        <v>0.9</v>
      </c>
      <c r="O34" s="49">
        <v>1.5</v>
      </c>
      <c r="P34" s="49">
        <v>0.9</v>
      </c>
      <c r="Q34" s="49" t="s">
        <v>276</v>
      </c>
      <c r="R34" s="49" t="s">
        <v>286</v>
      </c>
      <c r="S34" s="25">
        <v>21.2</v>
      </c>
      <c r="T34" s="26">
        <f>(J34+K34+L34)+IF((VLOOKUP(Q34,MogulsDD!$A$1:$C$1000,3,FALSE)*(M34+O34)/2)&gt;3.75,3.75,VLOOKUP(Q34,MogulsDD!$A$1:$C$1000,3,FALSE)*(M34+O34)/2)+IF((VLOOKUP(R34,MogulsDD!$A$1:$C$1000,3,FALSE)*(N34+P34)/2)&gt;3.75,3.75,VLOOKUP(R34,MogulsDD!$A$1:$C$1000,3,FALSE)*(N34+P34)/2)+IF((18-12*S34/$J$5)&gt;7.5,7.5,IF((18-12*S34/$J$5)&lt;0,0,(18-12*S34/$J$5)))</f>
        <v>11.671774046670462</v>
      </c>
      <c r="U34" s="38"/>
      <c r="V34" s="38"/>
      <c r="W34" s="38"/>
      <c r="X34" s="38"/>
      <c r="Y34" s="39"/>
      <c r="Z34" s="38"/>
      <c r="AA34" s="38"/>
      <c r="AB34" s="38"/>
      <c r="AC34" s="38"/>
      <c r="AD34" s="39"/>
      <c r="AE34" s="38"/>
      <c r="AF34" s="38"/>
      <c r="AG34" s="38"/>
      <c r="AH34" s="38"/>
      <c r="AI34" s="39"/>
      <c r="AJ34" s="44"/>
      <c r="AK34" s="39"/>
      <c r="AL34" s="37"/>
      <c r="AM34" s="37"/>
    </row>
    <row r="35" spans="1:39">
      <c r="A35" s="19">
        <f t="shared" si="1"/>
        <v>11</v>
      </c>
      <c r="B35" s="32">
        <v>29</v>
      </c>
      <c r="C35" s="22">
        <v>2</v>
      </c>
      <c r="D35" s="22" t="s">
        <v>116</v>
      </c>
      <c r="E35" s="22"/>
      <c r="F35" s="22"/>
      <c r="G35" s="22" t="s">
        <v>122</v>
      </c>
      <c r="H35" s="22" t="s">
        <v>117</v>
      </c>
      <c r="I35" s="23" t="s">
        <v>103</v>
      </c>
      <c r="J35" s="27">
        <v>2.8</v>
      </c>
      <c r="K35" s="28">
        <v>2.4</v>
      </c>
      <c r="L35" s="28">
        <v>2.4</v>
      </c>
      <c r="M35" s="52">
        <v>1.7</v>
      </c>
      <c r="N35" s="52">
        <v>0</v>
      </c>
      <c r="O35" s="49">
        <v>1.5</v>
      </c>
      <c r="P35" s="49">
        <v>0</v>
      </c>
      <c r="Q35" s="49" t="s">
        <v>280</v>
      </c>
      <c r="R35" s="49" t="s">
        <v>279</v>
      </c>
      <c r="S35" s="25">
        <v>22.69</v>
      </c>
      <c r="T35" s="26">
        <f>(J35+K35+L35)+IF((VLOOKUP(Q35,MogulsDD!$A$1:$C$1000,3,FALSE)*(M35+O35)/2)&gt;3.75,3.75,VLOOKUP(Q35,MogulsDD!$A$1:$C$1000,3,FALSE)*(M35+O35)/2)+IF((VLOOKUP(R35,MogulsDD!$A$1:$C$1000,3,FALSE)*(N35+P35)/2)&gt;3.75,3.75,VLOOKUP(R35,MogulsDD!$A$1:$C$1000,3,FALSE)*(N35+P35)/2)+IF((18-12*S35/$J$5)&gt;7.5,7.5,IF((18-12*S35/$J$5)&lt;0,0,(18-12*S35/$J$5)))</f>
        <v>11.015130335799658</v>
      </c>
      <c r="U35" s="38"/>
      <c r="V35" s="38"/>
      <c r="W35" s="38"/>
      <c r="X35" s="38"/>
      <c r="Y35" s="39"/>
      <c r="Z35" s="38"/>
      <c r="AA35" s="38"/>
      <c r="AB35" s="38"/>
      <c r="AC35" s="38"/>
      <c r="AD35" s="39"/>
      <c r="AE35" s="38"/>
      <c r="AF35" s="38"/>
      <c r="AG35" s="38"/>
      <c r="AH35" s="38"/>
      <c r="AI35" s="39"/>
      <c r="AJ35" s="44"/>
      <c r="AK35" s="39"/>
      <c r="AL35" s="37"/>
      <c r="AM35" s="37"/>
    </row>
    <row r="36" spans="1:39" ht="13.8" thickBot="1">
      <c r="A36" s="19">
        <f t="shared" si="1"/>
        <v>12</v>
      </c>
      <c r="B36" s="13">
        <v>84</v>
      </c>
      <c r="C36" s="22">
        <v>19</v>
      </c>
      <c r="D36" s="14" t="s">
        <v>194</v>
      </c>
      <c r="E36" s="22"/>
      <c r="F36" s="14" t="s">
        <v>192</v>
      </c>
      <c r="G36" s="14" t="s">
        <v>122</v>
      </c>
      <c r="H36" s="111" t="s">
        <v>195</v>
      </c>
      <c r="I36" s="18" t="s">
        <v>196</v>
      </c>
      <c r="J36" s="29">
        <v>2</v>
      </c>
      <c r="K36" s="30">
        <v>1.9</v>
      </c>
      <c r="L36" s="30">
        <v>1.8</v>
      </c>
      <c r="M36" s="53">
        <v>0.7</v>
      </c>
      <c r="N36" s="53">
        <v>1.5</v>
      </c>
      <c r="O36" s="50">
        <v>1</v>
      </c>
      <c r="P36" s="50">
        <v>1.2</v>
      </c>
      <c r="Q36" s="49" t="s">
        <v>273</v>
      </c>
      <c r="R36" s="49" t="s">
        <v>279</v>
      </c>
      <c r="S36" s="25">
        <v>23.35</v>
      </c>
      <c r="T36" s="26">
        <f>(J36+K36+L36)+IF((VLOOKUP(Q36,MogulsDD!$A$1:$C$1000,3,FALSE)*(M36+O36)/2)&gt;3.75,3.75,VLOOKUP(Q36,MogulsDD!$A$1:$C$1000,3,FALSE)*(M36+O36)/2)+IF((VLOOKUP(R36,MogulsDD!$A$1:$C$1000,3,FALSE)*(N36+P36)/2)&gt;3.75,3.75,VLOOKUP(R36,MogulsDD!$A$1:$C$1000,3,FALSE)*(N36+P36)/2)+IF((18-12*S36/$J$5)&gt;7.5,7.5,IF((18-12*S36/$J$5)&lt;0,0,(18-12*S36/$J$5)))</f>
        <v>9.2133619806488305</v>
      </c>
      <c r="U36" s="38"/>
      <c r="V36" s="38"/>
      <c r="W36" s="38"/>
      <c r="X36" s="38"/>
      <c r="Y36" s="39"/>
      <c r="Z36" s="38"/>
      <c r="AA36" s="38"/>
      <c r="AB36" s="38"/>
      <c r="AC36" s="38"/>
      <c r="AD36" s="39"/>
      <c r="AE36" s="38"/>
      <c r="AF36" s="38"/>
      <c r="AG36" s="38"/>
      <c r="AH36" s="38"/>
      <c r="AI36" s="39"/>
      <c r="AJ36" s="44"/>
      <c r="AK36" s="39"/>
      <c r="AL36" s="37"/>
      <c r="AM36" s="37"/>
    </row>
    <row r="37" spans="1:39">
      <c r="A37" s="19">
        <f t="shared" si="1"/>
        <v>13</v>
      </c>
      <c r="B37" s="15">
        <v>20</v>
      </c>
      <c r="C37" s="22">
        <v>1</v>
      </c>
      <c r="D37" s="16" t="s">
        <v>107</v>
      </c>
      <c r="E37" s="22"/>
      <c r="F37" s="16" t="s">
        <v>108</v>
      </c>
      <c r="G37" s="16" t="s">
        <v>122</v>
      </c>
      <c r="H37" s="16" t="s">
        <v>109</v>
      </c>
      <c r="I37" s="17" t="s">
        <v>103</v>
      </c>
      <c r="J37" s="107">
        <v>2.2999999999999998</v>
      </c>
      <c r="K37" s="25">
        <v>2.5</v>
      </c>
      <c r="L37" s="25">
        <v>2.4</v>
      </c>
      <c r="M37" s="51">
        <v>0</v>
      </c>
      <c r="N37" s="51">
        <v>0.7</v>
      </c>
      <c r="O37" s="49">
        <v>0</v>
      </c>
      <c r="P37" s="49">
        <v>0.7</v>
      </c>
      <c r="Q37" s="49" t="s">
        <v>281</v>
      </c>
      <c r="R37" s="49" t="s">
        <v>282</v>
      </c>
      <c r="S37" s="25">
        <v>24.17</v>
      </c>
      <c r="T37" s="26">
        <f>(J37+K37+L37)+IF((VLOOKUP(Q37,MogulsDD!$A$1:$C$1000,3,FALSE)*(M37+O37)/2)&gt;3.75,3.75,VLOOKUP(Q37,MogulsDD!$A$1:$C$1000,3,FALSE)*(M37+O37)/2)+IF((VLOOKUP(R37,MogulsDD!$A$1:$C$1000,3,FALSE)*(N37+P37)/2)&gt;3.75,3.75,VLOOKUP(R37,MogulsDD!$A$1:$C$1000,3,FALSE)*(N37+P37)/2)+IF((18-12*S37/$J$5)&gt;7.5,7.5,IF((18-12*S37/$J$5)&lt;0,0,(18-12*S37/$J$5)))</f>
        <v>9.1263164484917461</v>
      </c>
      <c r="U37" s="38"/>
      <c r="V37" s="38"/>
      <c r="W37" s="38"/>
      <c r="X37" s="38"/>
      <c r="Y37" s="39"/>
      <c r="Z37" s="38"/>
      <c r="AA37" s="38"/>
      <c r="AB37" s="38"/>
      <c r="AC37" s="38"/>
      <c r="AD37" s="39"/>
      <c r="AE37" s="38"/>
      <c r="AF37" s="38"/>
      <c r="AG37" s="38"/>
      <c r="AH37" s="38"/>
      <c r="AI37" s="39"/>
      <c r="AJ37" s="44"/>
      <c r="AK37" s="39"/>
      <c r="AL37" s="37"/>
      <c r="AM37" s="37"/>
    </row>
    <row r="38" spans="1:39">
      <c r="A38" s="19">
        <f t="shared" si="1"/>
        <v>14</v>
      </c>
      <c r="B38" s="32">
        <v>2</v>
      </c>
      <c r="C38" s="22">
        <v>8</v>
      </c>
      <c r="D38" s="22" t="s">
        <v>191</v>
      </c>
      <c r="E38" s="22"/>
      <c r="F38" s="22" t="s">
        <v>192</v>
      </c>
      <c r="G38" s="22" t="s">
        <v>122</v>
      </c>
      <c r="H38" s="22" t="s">
        <v>193</v>
      </c>
      <c r="I38" s="23" t="s">
        <v>137</v>
      </c>
      <c r="J38" s="35">
        <v>1.5</v>
      </c>
      <c r="K38" s="28">
        <v>1.6</v>
      </c>
      <c r="L38" s="28">
        <v>1.7</v>
      </c>
      <c r="M38" s="52">
        <v>1.1000000000000001</v>
      </c>
      <c r="N38" s="52">
        <v>0.4</v>
      </c>
      <c r="O38" s="49">
        <v>1</v>
      </c>
      <c r="P38" s="49">
        <v>0.6</v>
      </c>
      <c r="Q38" s="49" t="s">
        <v>279</v>
      </c>
      <c r="R38" s="49" t="s">
        <v>61</v>
      </c>
      <c r="S38" s="25">
        <v>22.84</v>
      </c>
      <c r="T38" s="26">
        <f>(J38+K38+L38)+IF((VLOOKUP(Q38,MogulsDD!$A$1:$C$1000,3,FALSE)*(M38+O38)/2)&gt;3.75,3.75,VLOOKUP(Q38,MogulsDD!$A$1:$C$1000,3,FALSE)*(M38+O38)/2)+IF((VLOOKUP(R38,MogulsDD!$A$1:$C$1000,3,FALSE)*(N38+P38)/2)&gt;3.75,3.75,VLOOKUP(R38,MogulsDD!$A$1:$C$1000,3,FALSE)*(N38+P38)/2)+IF((18-12*S38/$J$5)&gt;7.5,7.5,IF((18-12*S38/$J$5)&lt;0,0,(18-12*S38/$J$5)))</f>
        <v>8.3661829823562908</v>
      </c>
      <c r="U38" s="38"/>
      <c r="V38" s="38"/>
      <c r="W38" s="38"/>
      <c r="X38" s="38"/>
      <c r="Y38" s="39"/>
      <c r="Z38" s="38"/>
      <c r="AA38" s="38"/>
      <c r="AB38" s="38"/>
      <c r="AC38" s="38"/>
      <c r="AD38" s="39"/>
      <c r="AE38" s="38"/>
      <c r="AF38" s="38"/>
      <c r="AG38" s="38"/>
      <c r="AH38" s="38"/>
      <c r="AI38" s="39"/>
      <c r="AJ38" s="44"/>
      <c r="AK38" s="39"/>
      <c r="AL38" s="37"/>
      <c r="AM38" s="37"/>
    </row>
    <row r="39" spans="1:39">
      <c r="A39" s="19">
        <f t="shared" si="1"/>
        <v>15</v>
      </c>
      <c r="B39" s="32">
        <v>15</v>
      </c>
      <c r="C39" s="22">
        <v>15</v>
      </c>
      <c r="D39" s="22" t="s">
        <v>237</v>
      </c>
      <c r="E39" s="22"/>
      <c r="F39" s="22"/>
      <c r="G39" s="22" t="s">
        <v>240</v>
      </c>
      <c r="H39" s="22" t="s">
        <v>244</v>
      </c>
      <c r="I39" s="23"/>
      <c r="J39" s="35">
        <v>1.7</v>
      </c>
      <c r="K39" s="28">
        <v>1.9</v>
      </c>
      <c r="L39" s="28">
        <v>2</v>
      </c>
      <c r="M39" s="52">
        <v>1.8</v>
      </c>
      <c r="N39" s="52">
        <v>0</v>
      </c>
      <c r="O39" s="49">
        <v>1.6</v>
      </c>
      <c r="P39" s="49">
        <v>0</v>
      </c>
      <c r="Q39" s="49" t="s">
        <v>280</v>
      </c>
      <c r="R39" s="49" t="s">
        <v>274</v>
      </c>
      <c r="S39" s="25">
        <v>23.8</v>
      </c>
      <c r="T39" s="26">
        <f>(J39+K39+L39)+IF((VLOOKUP(Q39,MogulsDD!$A$1:$C$1000,3,FALSE)*(M39+O39)/2)&gt;3.75,3.75,VLOOKUP(Q39,MogulsDD!$A$1:$C$1000,3,FALSE)*(M39+O39)/2)+IF((VLOOKUP(R39,MogulsDD!$A$1:$C$1000,3,FALSE)*(N39+P39)/2)&gt;3.75,3.75,VLOOKUP(R39,MogulsDD!$A$1:$C$1000,3,FALSE)*(N39+P39)/2)+IF((18-12*S39/$J$5)&gt;7.5,7.5,IF((18-12*S39/$J$5)&lt;0,0,(18-12*S39/$J$5)))</f>
        <v>8.3140199203187244</v>
      </c>
      <c r="U39" s="38"/>
      <c r="V39" s="38"/>
      <c r="W39" s="38"/>
      <c r="X39" s="38"/>
      <c r="Y39" s="39"/>
      <c r="Z39" s="38"/>
      <c r="AA39" s="38"/>
      <c r="AB39" s="38"/>
      <c r="AC39" s="38"/>
      <c r="AD39" s="39"/>
      <c r="AE39" s="38"/>
      <c r="AF39" s="38"/>
      <c r="AG39" s="38"/>
      <c r="AH39" s="38"/>
      <c r="AI39" s="39"/>
      <c r="AJ39" s="44"/>
      <c r="AK39" s="39"/>
      <c r="AL39" s="37"/>
      <c r="AM39" s="37"/>
    </row>
    <row r="40" spans="1:39">
      <c r="A40" s="19">
        <f t="shared" si="1"/>
        <v>16</v>
      </c>
      <c r="B40" s="32">
        <v>14</v>
      </c>
      <c r="C40" s="22">
        <v>23</v>
      </c>
      <c r="D40" s="22" t="s">
        <v>269</v>
      </c>
      <c r="E40" s="22"/>
      <c r="F40" s="22"/>
      <c r="G40" s="22" t="s">
        <v>122</v>
      </c>
      <c r="H40" s="22" t="s">
        <v>268</v>
      </c>
      <c r="I40" s="23"/>
      <c r="J40" s="35">
        <v>2.6</v>
      </c>
      <c r="K40" s="28">
        <v>2.4</v>
      </c>
      <c r="L40" s="28">
        <v>2</v>
      </c>
      <c r="M40" s="52">
        <v>0</v>
      </c>
      <c r="N40" s="52">
        <v>0.9</v>
      </c>
      <c r="O40" s="49">
        <v>0</v>
      </c>
      <c r="P40" s="49">
        <v>0.5</v>
      </c>
      <c r="Q40" s="49" t="s">
        <v>282</v>
      </c>
      <c r="R40" s="49" t="s">
        <v>279</v>
      </c>
      <c r="S40" s="25">
        <v>25.12</v>
      </c>
      <c r="T40" s="26">
        <f>(J40+K40+L40)+IF((VLOOKUP(Q40,MogulsDD!$A$1:$C$1000,3,FALSE)*(M40+O40)/2)&gt;3.75,3.75,VLOOKUP(Q40,MogulsDD!$A$1:$C$1000,3,FALSE)*(M40+O40)/2)+IF((VLOOKUP(R40,MogulsDD!$A$1:$C$1000,3,FALSE)*(N40+P40)/2)&gt;3.75,3.75,VLOOKUP(R40,MogulsDD!$A$1:$C$1000,3,FALSE)*(N40+P40)/2)+IF((18-12*S40/$J$5)&gt;7.5,7.5,IF((18-12*S40/$J$5)&lt;0,0,(18-12*S40/$J$5)))</f>
        <v>8.2704832100170762</v>
      </c>
      <c r="U40" s="38"/>
      <c r="V40" s="38"/>
      <c r="W40" s="38"/>
      <c r="X40" s="38"/>
      <c r="Y40" s="39"/>
      <c r="Z40" s="38"/>
      <c r="AA40" s="38"/>
      <c r="AB40" s="38"/>
      <c r="AC40" s="38"/>
      <c r="AD40" s="39"/>
      <c r="AE40" s="38"/>
      <c r="AF40" s="38"/>
      <c r="AG40" s="38"/>
      <c r="AH40" s="38"/>
      <c r="AI40" s="39"/>
      <c r="AJ40" s="44"/>
      <c r="AK40" s="39"/>
      <c r="AL40" s="37"/>
      <c r="AM40" s="37"/>
    </row>
    <row r="41" spans="1:39">
      <c r="A41" s="19">
        <f t="shared" si="1"/>
        <v>17</v>
      </c>
      <c r="B41" s="32">
        <v>43</v>
      </c>
      <c r="C41" s="22">
        <v>21</v>
      </c>
      <c r="D41" s="22" t="s">
        <v>163</v>
      </c>
      <c r="E41" s="22"/>
      <c r="F41" s="22" t="s">
        <v>164</v>
      </c>
      <c r="G41" s="22" t="s">
        <v>209</v>
      </c>
      <c r="H41" s="22" t="s">
        <v>165</v>
      </c>
      <c r="I41" s="23" t="s">
        <v>103</v>
      </c>
      <c r="J41" s="35">
        <v>0.9</v>
      </c>
      <c r="K41" s="28">
        <v>0.9</v>
      </c>
      <c r="L41" s="28">
        <v>1.1000000000000001</v>
      </c>
      <c r="M41" s="52">
        <v>1.8</v>
      </c>
      <c r="N41" s="52">
        <v>0.4</v>
      </c>
      <c r="O41" s="49">
        <v>2</v>
      </c>
      <c r="P41" s="49">
        <v>0.1</v>
      </c>
      <c r="Q41" s="49" t="s">
        <v>279</v>
      </c>
      <c r="R41" s="49" t="s">
        <v>273</v>
      </c>
      <c r="S41" s="25">
        <v>24.52</v>
      </c>
      <c r="T41" s="26">
        <f>(J41+K41+L41)+IF((VLOOKUP(Q41,MogulsDD!$A$1:$C$1000,3,FALSE)*(M41+O41)/2)&gt;3.75,3.75,VLOOKUP(Q41,MogulsDD!$A$1:$C$1000,3,FALSE)*(M41+O41)/2)+IF((VLOOKUP(R41,MogulsDD!$A$1:$C$1000,3,FALSE)*(N41+P41)/2)&gt;3.75,3.75,VLOOKUP(R41,MogulsDD!$A$1:$C$1000,3,FALSE)*(N41+P41)/2)+IF((18-12*S41/$J$5)&gt;7.5,7.5,IF((18-12*S41/$J$5)&lt;0,0,(18-12*S41/$J$5)))</f>
        <v>5.4997726237905509</v>
      </c>
      <c r="U41" s="38"/>
      <c r="V41" s="38"/>
      <c r="W41" s="38"/>
      <c r="X41" s="38"/>
      <c r="Y41" s="39"/>
      <c r="Z41" s="38"/>
      <c r="AA41" s="38"/>
      <c r="AB41" s="38"/>
      <c r="AC41" s="38"/>
      <c r="AD41" s="39"/>
      <c r="AE41" s="38"/>
      <c r="AF41" s="38"/>
      <c r="AG41" s="38"/>
      <c r="AH41" s="38"/>
      <c r="AI41" s="39"/>
      <c r="AJ41" s="44"/>
      <c r="AK41" s="39"/>
      <c r="AL41" s="37"/>
      <c r="AM41" s="37"/>
    </row>
    <row r="42" spans="1:39">
      <c r="A42" s="19">
        <f t="shared" si="1"/>
        <v>18</v>
      </c>
      <c r="B42" s="32"/>
      <c r="C42" s="22"/>
      <c r="D42" s="22"/>
      <c r="E42" s="22"/>
      <c r="F42" s="22"/>
      <c r="G42" s="22"/>
      <c r="H42" s="22"/>
      <c r="I42" s="23"/>
      <c r="J42" s="35"/>
      <c r="K42" s="28"/>
      <c r="L42" s="28"/>
      <c r="M42" s="52"/>
      <c r="N42" s="52"/>
      <c r="O42" s="49"/>
      <c r="P42" s="49"/>
      <c r="Q42" s="49" t="s">
        <v>63</v>
      </c>
      <c r="R42" s="49" t="s">
        <v>63</v>
      </c>
      <c r="S42" s="25">
        <v>9999</v>
      </c>
      <c r="T42" s="26">
        <f>(J42+K42+L42)+IF((VLOOKUP(Q42,MogulsDD!$A$1:$C$1000,3,FALSE)*(M42+O42)/2)&gt;3.75,3.75,VLOOKUP(Q42,MogulsDD!$A$1:$C$1000,3,FALSE)*(M42+O42)/2)+IF((VLOOKUP(R42,MogulsDD!$A$1:$C$1000,3,FALSE)*(N42+P42)/2)&gt;3.75,3.75,VLOOKUP(R42,MogulsDD!$A$1:$C$1000,3,FALSE)*(N42+P42)/2)+IF((18-12*S42/$J$5)&gt;7.5,7.5,IF((18-12*S42/$J$5)&lt;0,0,(18-12*S42/$J$5)))</f>
        <v>0</v>
      </c>
      <c r="U42" s="38"/>
      <c r="V42" s="38"/>
      <c r="W42" s="38"/>
      <c r="X42" s="38"/>
      <c r="Y42" s="39"/>
      <c r="Z42" s="38"/>
      <c r="AA42" s="38"/>
      <c r="AB42" s="38"/>
      <c r="AC42" s="38"/>
      <c r="AD42" s="39"/>
      <c r="AE42" s="38"/>
      <c r="AF42" s="38"/>
      <c r="AG42" s="38"/>
      <c r="AH42" s="38"/>
      <c r="AI42" s="39"/>
      <c r="AJ42" s="44"/>
      <c r="AK42" s="39"/>
      <c r="AL42" s="37"/>
      <c r="AM42" s="37"/>
    </row>
    <row r="43" spans="1:39"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7"/>
      <c r="AM43" s="37"/>
    </row>
    <row r="44" spans="1:39"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7"/>
      <c r="AM44" s="37"/>
    </row>
    <row r="45" spans="1:39"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7"/>
      <c r="AM45" s="37"/>
    </row>
    <row r="46" spans="1:39"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7"/>
      <c r="AM46" s="37"/>
    </row>
    <row r="47" spans="1:39"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7"/>
      <c r="AM47" s="37"/>
    </row>
    <row r="48" spans="1:39"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7"/>
      <c r="AM48" s="37"/>
    </row>
    <row r="49" spans="21:39"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7"/>
      <c r="AM49" s="37"/>
    </row>
    <row r="50" spans="21:39"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7"/>
      <c r="AM50" s="37"/>
    </row>
    <row r="51" spans="21:39"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7"/>
      <c r="AM51" s="37"/>
    </row>
    <row r="52" spans="21:39"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7"/>
      <c r="AM52" s="37"/>
    </row>
    <row r="53" spans="21:39"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7"/>
      <c r="AM53" s="37"/>
    </row>
    <row r="54" spans="21:39"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7"/>
      <c r="AM54" s="37"/>
    </row>
    <row r="55" spans="21:39"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7"/>
      <c r="AM55" s="37"/>
    </row>
    <row r="56" spans="21:39"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7"/>
      <c r="AM56" s="37"/>
    </row>
    <row r="57" spans="21:39"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7"/>
      <c r="AM57" s="37"/>
    </row>
    <row r="58" spans="21:39"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7"/>
      <c r="AM58" s="37"/>
    </row>
    <row r="59" spans="21:39"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7"/>
      <c r="AM59" s="37"/>
    </row>
    <row r="60" spans="21:39"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7"/>
      <c r="AM60" s="37"/>
    </row>
    <row r="61" spans="21:39"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7"/>
      <c r="AM61" s="37"/>
    </row>
    <row r="62" spans="21:39"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7"/>
      <c r="AM62" s="37"/>
    </row>
    <row r="63" spans="21:39"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</row>
    <row r="64" spans="21:39"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</row>
    <row r="65" spans="21:39"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</row>
    <row r="66" spans="21:39"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</row>
    <row r="67" spans="21:39"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</row>
    <row r="68" spans="21:39"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</row>
    <row r="69" spans="21:39"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</row>
    <row r="70" spans="21:39"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</row>
    <row r="71" spans="21:39"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</row>
    <row r="72" spans="21:39"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</row>
    <row r="73" spans="21:39"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</row>
    <row r="74" spans="21:39"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</row>
    <row r="75" spans="21:39"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</row>
    <row r="76" spans="21:39"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</row>
    <row r="77" spans="21:39"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</row>
    <row r="78" spans="21:39"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</row>
    <row r="79" spans="21:39"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</row>
    <row r="80" spans="21:39"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</row>
    <row r="81" spans="21:39"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</row>
    <row r="82" spans="21:39"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</row>
    <row r="83" spans="21:39"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</row>
    <row r="84" spans="21:39"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</row>
  </sheetData>
  <sortState ref="B25:T41">
    <sortCondition descending="1" ref="T25:T41"/>
  </sortState>
  <mergeCells count="12">
    <mergeCell ref="A7:B7"/>
    <mergeCell ref="C7:F7"/>
    <mergeCell ref="A8:B8"/>
    <mergeCell ref="C8:F8"/>
    <mergeCell ref="A9:B9"/>
    <mergeCell ref="C9:F9"/>
    <mergeCell ref="A1:I1"/>
    <mergeCell ref="A2:I2"/>
    <mergeCell ref="A5:B5"/>
    <mergeCell ref="C5:F5"/>
    <mergeCell ref="A6:B6"/>
    <mergeCell ref="C6:F6"/>
  </mergeCells>
  <hyperlinks>
    <hyperlink ref="J2" r:id="rId1" display="http://data.fis-ski.com/dynamic/event-details.html?event_id=36203&amp;cal_suchsector=FS"/>
    <hyperlink ref="L2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82"/>
  <sheetViews>
    <sheetView workbookViewId="0">
      <selection activeCell="R34" sqref="R34"/>
    </sheetView>
  </sheetViews>
  <sheetFormatPr defaultColWidth="11.44140625" defaultRowHeight="13.2"/>
  <cols>
    <col min="2" max="2" width="8.109375" customWidth="1"/>
    <col min="3" max="3" width="17.44140625" bestFit="1" customWidth="1"/>
    <col min="4" max="4" width="22" customWidth="1"/>
    <col min="5" max="5" width="18.44140625" customWidth="1"/>
    <col min="6" max="6" width="11.109375" customWidth="1"/>
    <col min="8" max="8" width="16.6640625" bestFit="1" customWidth="1"/>
    <col min="9" max="9" width="16.5546875" bestFit="1" customWidth="1"/>
  </cols>
  <sheetData>
    <row r="1" spans="1:39" ht="24.6">
      <c r="A1" s="159"/>
      <c r="B1" s="159"/>
      <c r="C1" s="159"/>
      <c r="D1" s="159"/>
      <c r="E1" s="159"/>
      <c r="F1" s="159"/>
      <c r="G1" s="159"/>
      <c r="H1" s="159"/>
      <c r="I1" s="15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9" ht="17.399999999999999">
      <c r="A2" s="160" t="s">
        <v>227</v>
      </c>
      <c r="B2" s="160"/>
      <c r="C2" s="160"/>
      <c r="D2" s="160"/>
      <c r="E2" s="160"/>
      <c r="F2" s="160"/>
      <c r="G2" s="160"/>
      <c r="H2" s="160"/>
      <c r="I2" s="160"/>
      <c r="J2" s="95" t="s">
        <v>198</v>
      </c>
      <c r="K2" s="1"/>
      <c r="L2" s="95" t="s">
        <v>197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9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9" ht="13.8" thickBot="1">
      <c r="A4" s="7"/>
      <c r="B4" s="1"/>
      <c r="C4" s="1"/>
      <c r="D4" s="1"/>
      <c r="E4" s="1"/>
      <c r="F4" s="1"/>
      <c r="G4" s="1"/>
      <c r="H4" s="1"/>
      <c r="I4" s="1"/>
      <c r="J4" s="1" t="s">
        <v>152</v>
      </c>
      <c r="K4" s="1" t="s">
        <v>151</v>
      </c>
      <c r="L4" s="1"/>
      <c r="M4" s="1" t="s">
        <v>11</v>
      </c>
      <c r="N4" s="1" t="s">
        <v>219</v>
      </c>
      <c r="O4" s="1"/>
      <c r="P4" s="1" t="s">
        <v>216</v>
      </c>
      <c r="Q4" s="1" t="s">
        <v>224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9">
      <c r="A5" s="161" t="s">
        <v>6</v>
      </c>
      <c r="B5" s="162"/>
      <c r="C5" s="163" t="s">
        <v>218</v>
      </c>
      <c r="D5" s="164"/>
      <c r="E5" s="164"/>
      <c r="F5" s="165"/>
      <c r="G5" s="1"/>
      <c r="H5" s="1"/>
      <c r="I5" s="36" t="s">
        <v>69</v>
      </c>
      <c r="J5" s="1">
        <v>17.57</v>
      </c>
      <c r="K5" s="1">
        <v>20.71</v>
      </c>
      <c r="L5" s="1"/>
      <c r="M5" s="1" t="s">
        <v>12</v>
      </c>
      <c r="N5" s="1" t="s">
        <v>220</v>
      </c>
      <c r="O5" s="1"/>
      <c r="P5" s="1" t="s">
        <v>217</v>
      </c>
      <c r="Q5" s="1" t="s">
        <v>222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9">
      <c r="A6" s="149" t="s">
        <v>7</v>
      </c>
      <c r="B6" s="150"/>
      <c r="C6" s="151" t="s">
        <v>230</v>
      </c>
      <c r="D6" s="152"/>
      <c r="E6" s="152"/>
      <c r="F6" s="153"/>
      <c r="G6" s="1"/>
      <c r="H6" s="1"/>
      <c r="I6" s="1"/>
      <c r="J6" s="1"/>
      <c r="K6" s="1"/>
      <c r="L6" s="1"/>
      <c r="M6" s="1" t="s">
        <v>15</v>
      </c>
      <c r="N6" s="1" t="s">
        <v>221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9">
      <c r="A7" s="149" t="s">
        <v>8</v>
      </c>
      <c r="B7" s="150"/>
      <c r="C7" s="151" t="s">
        <v>242</v>
      </c>
      <c r="D7" s="152"/>
      <c r="E7" s="152"/>
      <c r="F7" s="153"/>
      <c r="G7" s="1"/>
      <c r="H7" s="1"/>
      <c r="I7" s="1" t="s">
        <v>254</v>
      </c>
      <c r="J7" s="1"/>
      <c r="K7" s="1"/>
      <c r="L7" s="1"/>
      <c r="M7" s="1" t="s">
        <v>214</v>
      </c>
      <c r="N7" s="1" t="s">
        <v>222</v>
      </c>
      <c r="O7" s="1"/>
      <c r="P7" s="1" t="s">
        <v>225</v>
      </c>
      <c r="Q7" s="1" t="s">
        <v>226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9">
      <c r="A8" s="149" t="s">
        <v>9</v>
      </c>
      <c r="B8" s="150"/>
      <c r="C8" s="151" t="s">
        <v>104</v>
      </c>
      <c r="D8" s="152"/>
      <c r="E8" s="152"/>
      <c r="F8" s="153"/>
      <c r="G8" s="1"/>
      <c r="H8" s="1"/>
      <c r="I8" s="1"/>
      <c r="J8" s="1"/>
      <c r="K8" s="1"/>
      <c r="L8" s="1"/>
      <c r="M8" s="1" t="s">
        <v>215</v>
      </c>
      <c r="N8" s="1" t="s">
        <v>223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9" ht="13.8" thickBot="1">
      <c r="A9" s="154" t="s">
        <v>10</v>
      </c>
      <c r="B9" s="155"/>
      <c r="C9" s="156" t="s">
        <v>105</v>
      </c>
      <c r="D9" s="157"/>
      <c r="E9" s="157"/>
      <c r="F9" s="15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37"/>
      <c r="AL9" s="37"/>
      <c r="AM9" s="37"/>
    </row>
    <row r="10" spans="1:39" ht="13.8" thickBot="1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9"/>
      <c r="AL10" s="37"/>
      <c r="AM10" s="37"/>
    </row>
    <row r="11" spans="1:39" ht="13.8" thickBot="1">
      <c r="A11" s="8"/>
      <c r="B11" s="5"/>
      <c r="C11" s="5"/>
      <c r="D11" s="5"/>
      <c r="E11" s="20" t="s">
        <v>228</v>
      </c>
      <c r="F11" s="5"/>
      <c r="G11" s="5"/>
      <c r="H11" s="5"/>
      <c r="I11" s="6"/>
      <c r="J11" s="21"/>
      <c r="K11" s="9"/>
      <c r="L11" s="9"/>
      <c r="M11" s="9"/>
      <c r="N11" s="9"/>
      <c r="O11" s="9"/>
      <c r="P11" s="9"/>
      <c r="Q11" s="9"/>
      <c r="R11" s="9"/>
      <c r="S11" s="9"/>
      <c r="T11" s="45"/>
      <c r="U11" s="38"/>
      <c r="V11" s="38"/>
      <c r="W11" s="38"/>
      <c r="X11" s="38"/>
      <c r="Y11" s="38"/>
      <c r="Z11" s="38"/>
      <c r="AA11" s="38"/>
      <c r="AB11" s="38"/>
      <c r="AC11" s="38"/>
      <c r="AD11" s="40"/>
      <c r="AE11" s="38"/>
      <c r="AF11" s="38"/>
      <c r="AG11" s="38"/>
      <c r="AH11" s="38"/>
      <c r="AI11" s="40"/>
      <c r="AJ11" s="38"/>
      <c r="AK11" s="39"/>
      <c r="AL11" s="37"/>
      <c r="AM11" s="37"/>
    </row>
    <row r="12" spans="1:39" ht="13.8" thickBot="1">
      <c r="A12" s="2" t="s">
        <v>0</v>
      </c>
      <c r="B12" s="3" t="s">
        <v>1</v>
      </c>
      <c r="C12" s="3" t="s">
        <v>252</v>
      </c>
      <c r="D12" s="3" t="s">
        <v>111</v>
      </c>
      <c r="E12" s="3" t="s">
        <v>238</v>
      </c>
      <c r="F12" s="3" t="s">
        <v>16</v>
      </c>
      <c r="G12" s="3" t="s">
        <v>3</v>
      </c>
      <c r="H12" s="3" t="s">
        <v>4</v>
      </c>
      <c r="I12" s="4" t="s">
        <v>5</v>
      </c>
      <c r="J12" s="2" t="s">
        <v>11</v>
      </c>
      <c r="K12" s="3" t="s">
        <v>12</v>
      </c>
      <c r="L12" s="3" t="s">
        <v>13</v>
      </c>
      <c r="M12" s="3" t="s">
        <v>66</v>
      </c>
      <c r="N12" s="3" t="s">
        <v>65</v>
      </c>
      <c r="O12" s="3" t="s">
        <v>67</v>
      </c>
      <c r="P12" s="3" t="s">
        <v>68</v>
      </c>
      <c r="Q12" s="3" t="s">
        <v>59</v>
      </c>
      <c r="R12" s="3" t="s">
        <v>60</v>
      </c>
      <c r="S12" s="3" t="s">
        <v>22</v>
      </c>
      <c r="T12" s="46" t="s">
        <v>14</v>
      </c>
      <c r="U12" s="41"/>
      <c r="V12" s="41"/>
      <c r="W12" s="41"/>
      <c r="X12" s="41"/>
      <c r="Y12" s="42"/>
      <c r="Z12" s="41"/>
      <c r="AA12" s="41"/>
      <c r="AB12" s="41"/>
      <c r="AC12" s="41"/>
      <c r="AD12" s="42"/>
      <c r="AE12" s="41"/>
      <c r="AF12" s="41"/>
      <c r="AG12" s="41"/>
      <c r="AH12" s="41"/>
      <c r="AI12" s="42"/>
      <c r="AJ12" s="43"/>
      <c r="AK12" s="39"/>
      <c r="AL12" s="37"/>
      <c r="AM12" s="37"/>
    </row>
    <row r="13" spans="1:39">
      <c r="A13" s="19">
        <f t="shared" ref="A13:A25" si="0">RANK(T13,$T$13:$T$25,0)</f>
        <v>1</v>
      </c>
      <c r="B13" s="22">
        <v>134</v>
      </c>
      <c r="C13" s="22">
        <v>2</v>
      </c>
      <c r="D13" s="22" t="s">
        <v>236</v>
      </c>
      <c r="E13" s="22">
        <v>2528719</v>
      </c>
      <c r="F13" s="22"/>
      <c r="G13" s="22" t="s">
        <v>240</v>
      </c>
      <c r="H13" s="22" t="s">
        <v>251</v>
      </c>
      <c r="I13" s="23"/>
      <c r="J13" s="24">
        <v>4</v>
      </c>
      <c r="K13" s="25">
        <v>3.8</v>
      </c>
      <c r="L13" s="25">
        <v>3.9</v>
      </c>
      <c r="M13" s="51">
        <v>2.2000000000000002</v>
      </c>
      <c r="N13" s="51">
        <v>1.8</v>
      </c>
      <c r="O13" s="49">
        <v>1.7</v>
      </c>
      <c r="P13" s="49">
        <v>1.9</v>
      </c>
      <c r="Q13" s="49" t="s">
        <v>270</v>
      </c>
      <c r="R13" s="49" t="s">
        <v>61</v>
      </c>
      <c r="S13" s="25">
        <v>20.94</v>
      </c>
      <c r="T13" s="26">
        <f>(J13+K13+L13)+IF((VLOOKUP(Q13,MogulsDD!$A$1:$D$1000,4,FALSE)*(M13+O13)/2)&gt;3.75,3.75,VLOOKUP(Q13,MogulsDD!$A$1:$D$1000,4,FALSE)*(M13+O13)/2)+IF((VLOOKUP(R13,MogulsDD!$A$1:$D$1000,4,FALSE)*(N13+P13)/2)&gt;3.75,3.75,VLOOKUP(R13,MogulsDD!$A$1:$D$1000,4,FALSE)*(N13+P13)/2)+IF((18-12*S13/$K$5)&gt;7.5,7.5,IF((18-12*S13/$K$5)&lt;0,0,(18-12*S13/$K$5)))</f>
        <v>22.126731047802991</v>
      </c>
      <c r="U13" s="38"/>
      <c r="V13" s="38"/>
      <c r="W13" s="38"/>
      <c r="X13" s="38"/>
      <c r="Y13" s="39"/>
      <c r="Z13" s="38"/>
      <c r="AA13" s="38"/>
      <c r="AB13" s="38"/>
      <c r="AC13" s="38"/>
      <c r="AD13" s="39"/>
      <c r="AE13" s="38"/>
      <c r="AF13" s="38"/>
      <c r="AG13" s="38"/>
      <c r="AH13" s="38"/>
      <c r="AI13" s="39"/>
      <c r="AJ13" s="44"/>
      <c r="AK13" s="39"/>
      <c r="AL13" s="37"/>
      <c r="AM13" s="37"/>
    </row>
    <row r="14" spans="1:39">
      <c r="A14" s="19">
        <f t="shared" si="0"/>
        <v>2</v>
      </c>
      <c r="B14" s="22">
        <v>61</v>
      </c>
      <c r="C14" s="22">
        <v>7</v>
      </c>
      <c r="D14" s="22" t="s">
        <v>176</v>
      </c>
      <c r="E14" s="22">
        <v>2531087</v>
      </c>
      <c r="F14" s="22" t="s">
        <v>173</v>
      </c>
      <c r="G14" s="22" t="s">
        <v>239</v>
      </c>
      <c r="H14" s="22" t="s">
        <v>177</v>
      </c>
      <c r="I14" s="23" t="s">
        <v>178</v>
      </c>
      <c r="J14" s="27">
        <v>4.0999999999999996</v>
      </c>
      <c r="K14" s="28">
        <v>4</v>
      </c>
      <c r="L14" s="28">
        <v>3.7</v>
      </c>
      <c r="M14" s="52">
        <v>2</v>
      </c>
      <c r="N14" s="52">
        <v>1.7</v>
      </c>
      <c r="O14" s="49">
        <v>2.1</v>
      </c>
      <c r="P14" s="49">
        <v>1.6</v>
      </c>
      <c r="Q14" s="49" t="s">
        <v>275</v>
      </c>
      <c r="R14" s="49" t="s">
        <v>276</v>
      </c>
      <c r="S14" s="25">
        <v>20.440000000000001</v>
      </c>
      <c r="T14" s="26">
        <f>(J14+K14+L14)+IF((VLOOKUP(Q14,MogulsDD!$A$1:$D$1000,4,FALSE)*(M14+O14)/2)&gt;3.75,3.75,VLOOKUP(Q14,MogulsDD!$A$1:$D$1000,4,FALSE)*(M14+O14)/2)+IF((VLOOKUP(R14,MogulsDD!$A$1:$D$1000,4,FALSE)*(N14+P14)/2)&gt;3.75,3.75,VLOOKUP(R14,MogulsDD!$A$1:$D$1000,4,FALSE)*(N14+P14)/2)+IF((18-12*S14/$K$5)&gt;7.5,7.5,IF((18-12*S14/$K$5)&lt;0,0,(18-12*S14/$K$5)))</f>
        <v>21.863446161274744</v>
      </c>
      <c r="U14" s="38"/>
      <c r="V14" s="38"/>
      <c r="W14" s="38"/>
      <c r="X14" s="38"/>
      <c r="Y14" s="39"/>
      <c r="Z14" s="38"/>
      <c r="AA14" s="38"/>
      <c r="AB14" s="38"/>
      <c r="AC14" s="38"/>
      <c r="AD14" s="39"/>
      <c r="AE14" s="38"/>
      <c r="AF14" s="38"/>
      <c r="AG14" s="38"/>
      <c r="AH14" s="38"/>
      <c r="AI14" s="39"/>
      <c r="AJ14" s="44"/>
      <c r="AK14" s="39"/>
      <c r="AL14" s="37"/>
      <c r="AM14" s="37"/>
    </row>
    <row r="15" spans="1:39">
      <c r="A15" s="19">
        <f t="shared" si="0"/>
        <v>3</v>
      </c>
      <c r="B15" s="22">
        <v>113</v>
      </c>
      <c r="C15" s="22">
        <v>9</v>
      </c>
      <c r="D15" s="22" t="s">
        <v>235</v>
      </c>
      <c r="E15" s="22"/>
      <c r="F15" s="22"/>
      <c r="G15" s="22" t="s">
        <v>240</v>
      </c>
      <c r="H15" s="22" t="s">
        <v>250</v>
      </c>
      <c r="I15" s="23"/>
      <c r="J15" s="27">
        <v>3.6</v>
      </c>
      <c r="K15" s="28">
        <v>3.6</v>
      </c>
      <c r="L15" s="28">
        <v>3.6</v>
      </c>
      <c r="M15" s="52">
        <v>2</v>
      </c>
      <c r="N15" s="52">
        <v>1.9</v>
      </c>
      <c r="O15" s="49">
        <v>1.7</v>
      </c>
      <c r="P15" s="49">
        <v>1.6</v>
      </c>
      <c r="Q15" s="49" t="s">
        <v>274</v>
      </c>
      <c r="R15" s="49" t="s">
        <v>276</v>
      </c>
      <c r="S15" s="25">
        <v>21.27</v>
      </c>
      <c r="T15" s="26">
        <f>(J15+K15+L15)+IF((VLOOKUP(Q15,MogulsDD!$A$1:$D$1000,4,FALSE)*(M15+O15)/2)&gt;3.75,3.75,VLOOKUP(Q15,MogulsDD!$A$1:$D$1000,4,FALSE)*(M15+O15)/2)+IF((VLOOKUP(R15,MogulsDD!$A$1:$D$1000,4,FALSE)*(N15+P15)/2)&gt;3.75,3.75,VLOOKUP(R15,MogulsDD!$A$1:$D$1000,4,FALSE)*(N15+P15)/2)+IF((18-12*S15/$K$5)&gt;7.5,7.5,IF((18-12*S15/$K$5)&lt;0,0,(18-12*S15/$K$5)))</f>
        <v>20.000019072911638</v>
      </c>
      <c r="U15" s="38"/>
      <c r="V15" s="38"/>
      <c r="W15" s="38"/>
      <c r="X15" s="38"/>
      <c r="Y15" s="39"/>
      <c r="Z15" s="38"/>
      <c r="AA15" s="38"/>
      <c r="AB15" s="38"/>
      <c r="AC15" s="38"/>
      <c r="AD15" s="39"/>
      <c r="AE15" s="38"/>
      <c r="AF15" s="38"/>
      <c r="AG15" s="38"/>
      <c r="AH15" s="38"/>
      <c r="AI15" s="39"/>
      <c r="AJ15" s="44"/>
      <c r="AK15" s="39"/>
      <c r="AL15" s="37"/>
      <c r="AM15" s="37"/>
    </row>
    <row r="16" spans="1:39">
      <c r="A16" s="19">
        <f t="shared" si="0"/>
        <v>4</v>
      </c>
      <c r="B16" s="22">
        <v>38</v>
      </c>
      <c r="C16" s="22">
        <v>3</v>
      </c>
      <c r="D16" s="22" t="s">
        <v>179</v>
      </c>
      <c r="E16" s="22">
        <v>2530095</v>
      </c>
      <c r="F16" s="22" t="s">
        <v>173</v>
      </c>
      <c r="G16" s="22" t="s">
        <v>239</v>
      </c>
      <c r="H16" s="22" t="s">
        <v>180</v>
      </c>
      <c r="I16" s="23" t="s">
        <v>181</v>
      </c>
      <c r="J16" s="27">
        <v>3.2</v>
      </c>
      <c r="K16" s="28">
        <v>3.7</v>
      </c>
      <c r="L16" s="28">
        <v>3.3</v>
      </c>
      <c r="M16" s="52">
        <v>1.6</v>
      </c>
      <c r="N16" s="52">
        <v>1.8</v>
      </c>
      <c r="O16" s="49">
        <v>1.6</v>
      </c>
      <c r="P16" s="49">
        <v>2</v>
      </c>
      <c r="Q16" s="49" t="s">
        <v>275</v>
      </c>
      <c r="R16" s="49" t="s">
        <v>279</v>
      </c>
      <c r="S16" s="25">
        <v>20.9</v>
      </c>
      <c r="T16" s="26">
        <f>(J16+K16+L16)+IF((VLOOKUP(Q16,MogulsDD!$A$1:$D$1000,4,FALSE)*(M16+O16)/2)&gt;3.75,3.75,VLOOKUP(Q16,MogulsDD!$A$1:$D$1000,4,FALSE)*(M16+O16)/2)+IF((VLOOKUP(R16,MogulsDD!$A$1:$D$1000,4,FALSE)*(N16+P16)/2)&gt;3.75,3.75,VLOOKUP(R16,MogulsDD!$A$1:$D$1000,4,FALSE)*(N16+P16)/2)+IF((18-12*S16/$K$5)&gt;7.5,7.5,IF((18-12*S16/$K$5)&lt;0,0,(18-12*S16/$K$5)))</f>
        <v>19.037908256880733</v>
      </c>
      <c r="U16" s="38"/>
      <c r="V16" s="38"/>
      <c r="W16" s="38"/>
      <c r="X16" s="38"/>
      <c r="Y16" s="39"/>
      <c r="Z16" s="38"/>
      <c r="AA16" s="38"/>
      <c r="AB16" s="38"/>
      <c r="AC16" s="38"/>
      <c r="AD16" s="39"/>
      <c r="AE16" s="38"/>
      <c r="AF16" s="38"/>
      <c r="AG16" s="38"/>
      <c r="AH16" s="38"/>
      <c r="AI16" s="39"/>
      <c r="AJ16" s="44"/>
      <c r="AK16" s="39"/>
      <c r="AL16" s="37"/>
      <c r="AM16" s="37"/>
    </row>
    <row r="17" spans="1:39">
      <c r="A17" s="19">
        <f t="shared" si="0"/>
        <v>5</v>
      </c>
      <c r="B17" s="22">
        <v>21</v>
      </c>
      <c r="C17" s="22">
        <v>11</v>
      </c>
      <c r="D17" s="22" t="s">
        <v>182</v>
      </c>
      <c r="E17" s="22">
        <v>2530097</v>
      </c>
      <c r="F17" s="22" t="s">
        <v>173</v>
      </c>
      <c r="G17" s="22" t="s">
        <v>239</v>
      </c>
      <c r="H17" s="22" t="s">
        <v>183</v>
      </c>
      <c r="I17" s="23" t="s">
        <v>115</v>
      </c>
      <c r="J17" s="27">
        <v>3.1</v>
      </c>
      <c r="K17" s="28">
        <v>3.4</v>
      </c>
      <c r="L17" s="28">
        <v>3.1</v>
      </c>
      <c r="M17" s="52">
        <v>1.4</v>
      </c>
      <c r="N17" s="52">
        <v>1.4</v>
      </c>
      <c r="O17" s="49">
        <v>1.2</v>
      </c>
      <c r="P17" s="49">
        <v>1.2</v>
      </c>
      <c r="Q17" s="49" t="s">
        <v>61</v>
      </c>
      <c r="R17" s="49" t="s">
        <v>279</v>
      </c>
      <c r="S17" s="25">
        <v>22.17</v>
      </c>
      <c r="T17" s="26">
        <f>(J17+K17+L17)+IF((VLOOKUP(Q17,MogulsDD!$A$1:$D$1000,4,FALSE)*(M17+O17)/2)&gt;3.75,3.75,VLOOKUP(Q17,MogulsDD!$A$1:$D$1000,4,FALSE)*(M17+O17)/2)+IF((VLOOKUP(R17,MogulsDD!$A$1:$D$1000,4,FALSE)*(N17+P17)/2)&gt;3.75,3.75,VLOOKUP(R17,MogulsDD!$A$1:$D$1000,4,FALSE)*(N17+P17)/2)+IF((18-12*S17/$K$5)&gt;7.5,7.5,IF((18-12*S17/$K$5)&lt;0,0,(18-12*S17/$K$5)))</f>
        <v>17.302031868662482</v>
      </c>
      <c r="U17" s="38"/>
      <c r="V17" s="38"/>
      <c r="W17" s="38"/>
      <c r="X17" s="38"/>
      <c r="Y17" s="39"/>
      <c r="Z17" s="38"/>
      <c r="AA17" s="38"/>
      <c r="AB17" s="38"/>
      <c r="AC17" s="38"/>
      <c r="AD17" s="39"/>
      <c r="AE17" s="38"/>
      <c r="AF17" s="38"/>
      <c r="AG17" s="38"/>
      <c r="AH17" s="38"/>
      <c r="AI17" s="39"/>
      <c r="AJ17" s="44"/>
      <c r="AK17" s="39"/>
      <c r="AL17" s="37"/>
      <c r="AM17" s="37"/>
    </row>
    <row r="18" spans="1:39" ht="13.8" thickBot="1">
      <c r="A18" s="19">
        <f t="shared" si="0"/>
        <v>6</v>
      </c>
      <c r="B18" s="14">
        <v>99</v>
      </c>
      <c r="C18" s="14">
        <v>1</v>
      </c>
      <c r="D18" s="14" t="s">
        <v>184</v>
      </c>
      <c r="E18" s="22"/>
      <c r="F18" s="14" t="s">
        <v>185</v>
      </c>
      <c r="G18" s="14" t="s">
        <v>122</v>
      </c>
      <c r="H18" s="14" t="s">
        <v>186</v>
      </c>
      <c r="I18" s="18" t="s">
        <v>187</v>
      </c>
      <c r="J18" s="29">
        <v>3.3</v>
      </c>
      <c r="K18" s="30">
        <v>3.1</v>
      </c>
      <c r="L18" s="30">
        <v>3</v>
      </c>
      <c r="M18" s="53">
        <v>0</v>
      </c>
      <c r="N18" s="53">
        <v>1.8</v>
      </c>
      <c r="O18" s="50">
        <v>0</v>
      </c>
      <c r="P18" s="50">
        <v>1.6</v>
      </c>
      <c r="Q18" s="49" t="s">
        <v>280</v>
      </c>
      <c r="R18" s="49" t="s">
        <v>279</v>
      </c>
      <c r="S18" s="25">
        <v>19.73</v>
      </c>
      <c r="T18" s="26">
        <f>(J18+K18+L18)+IF((VLOOKUP(Q18,MogulsDD!$A$1:$D$1000,4,FALSE)*(M18+O18)/2)&gt;3.75,3.75,VLOOKUP(Q18,MogulsDD!$A$1:$D$1000,4,FALSE)*(M18+O18)/2)+IF((VLOOKUP(R18,MogulsDD!$A$1:$D$1000,4,FALSE)*(N18+P18)/2)&gt;3.75,3.75,VLOOKUP(R18,MogulsDD!$A$1:$D$1000,4,FALSE)*(N18+P18)/2)+IF((18-12*S18/$K$5)&gt;7.5,7.5,IF((18-12*S18/$K$5)&lt;0,0,(18-12*S18/$K$5)))</f>
        <v>17.259841622404636</v>
      </c>
      <c r="U18" s="38"/>
      <c r="V18" s="38"/>
      <c r="W18" s="38"/>
      <c r="X18" s="38"/>
      <c r="Y18" s="39"/>
      <c r="Z18" s="38"/>
      <c r="AA18" s="38"/>
      <c r="AB18" s="38"/>
      <c r="AC18" s="38"/>
      <c r="AD18" s="39"/>
      <c r="AE18" s="38"/>
      <c r="AF18" s="38"/>
      <c r="AG18" s="38"/>
      <c r="AH18" s="38"/>
      <c r="AI18" s="39"/>
      <c r="AJ18" s="44"/>
      <c r="AK18" s="39"/>
      <c r="AL18" s="37"/>
      <c r="AM18" s="37"/>
    </row>
    <row r="19" spans="1:39">
      <c r="A19" s="19">
        <f t="shared" si="0"/>
        <v>7</v>
      </c>
      <c r="B19" s="22">
        <v>62</v>
      </c>
      <c r="C19" s="22">
        <v>10</v>
      </c>
      <c r="D19" s="22" t="s">
        <v>231</v>
      </c>
      <c r="E19" s="22"/>
      <c r="F19" s="22"/>
      <c r="G19" s="22" t="s">
        <v>240</v>
      </c>
      <c r="H19" s="22" t="s">
        <v>246</v>
      </c>
      <c r="I19" s="23"/>
      <c r="J19" s="24">
        <v>3</v>
      </c>
      <c r="K19" s="25">
        <v>2.8</v>
      </c>
      <c r="L19" s="25">
        <v>3.3</v>
      </c>
      <c r="M19" s="51">
        <v>1.5</v>
      </c>
      <c r="N19" s="51">
        <v>1.6</v>
      </c>
      <c r="O19" s="49">
        <v>1.6</v>
      </c>
      <c r="P19" s="49">
        <v>1.4</v>
      </c>
      <c r="Q19" s="49" t="s">
        <v>279</v>
      </c>
      <c r="R19" s="49" t="s">
        <v>276</v>
      </c>
      <c r="S19" s="25">
        <v>23.3</v>
      </c>
      <c r="T19" s="26">
        <f>(J19+K19+L19)+IF((VLOOKUP(Q19,MogulsDD!$A$1:$D$1000,4,FALSE)*(M19+O19)/2)&gt;3.75,3.75,VLOOKUP(Q19,MogulsDD!$A$1:$D$1000,4,FALSE)*(M19+O19)/2)+IF((VLOOKUP(R19,MogulsDD!$A$1:$D$1000,4,FALSE)*(N19+P19)/2)&gt;3.75,3.75,VLOOKUP(R19,MogulsDD!$A$1:$D$1000,4,FALSE)*(N19+P19)/2)+IF((18-12*S19/$K$5)&gt;7.5,7.5,IF((18-12*S19/$K$5)&lt;0,0,(18-12*S19/$K$5)))</f>
        <v>16.57727571221632</v>
      </c>
      <c r="U19" s="38"/>
      <c r="V19" s="38"/>
      <c r="W19" s="38"/>
      <c r="X19" s="38"/>
      <c r="Y19" s="39"/>
      <c r="Z19" s="38"/>
      <c r="AA19" s="38"/>
      <c r="AB19" s="38"/>
      <c r="AC19" s="38"/>
      <c r="AD19" s="39"/>
      <c r="AE19" s="38"/>
      <c r="AF19" s="38"/>
      <c r="AG19" s="38"/>
      <c r="AH19" s="38"/>
      <c r="AI19" s="39"/>
      <c r="AJ19" s="44"/>
      <c r="AK19" s="39"/>
      <c r="AL19" s="37"/>
      <c r="AM19" s="37"/>
    </row>
    <row r="20" spans="1:39">
      <c r="A20" s="19">
        <f t="shared" si="0"/>
        <v>8</v>
      </c>
      <c r="B20" s="22">
        <v>86</v>
      </c>
      <c r="C20" s="22">
        <v>13</v>
      </c>
      <c r="D20" s="22" t="s">
        <v>233</v>
      </c>
      <c r="E20" s="22"/>
      <c r="F20" s="22"/>
      <c r="G20" s="22" t="s">
        <v>240</v>
      </c>
      <c r="H20" s="99" t="s">
        <v>248</v>
      </c>
      <c r="I20" s="23"/>
      <c r="J20" s="27">
        <v>2.6</v>
      </c>
      <c r="K20" s="28">
        <v>2.8</v>
      </c>
      <c r="L20" s="28">
        <v>2.8</v>
      </c>
      <c r="M20" s="52">
        <v>1.2</v>
      </c>
      <c r="N20" s="52">
        <v>1.7</v>
      </c>
      <c r="O20" s="49">
        <v>1.1000000000000001</v>
      </c>
      <c r="P20" s="49">
        <v>1.5</v>
      </c>
      <c r="Q20" s="49" t="s">
        <v>279</v>
      </c>
      <c r="R20" s="49" t="s">
        <v>276</v>
      </c>
      <c r="S20" s="25">
        <v>23.44</v>
      </c>
      <c r="T20" s="26">
        <f>(J20+K20+L20)+IF((VLOOKUP(Q20,MogulsDD!$A$1:$D$1000,4,FALSE)*(M20+O20)/2)&gt;3.75,3.75,VLOOKUP(Q20,MogulsDD!$A$1:$D$1000,4,FALSE)*(M20+O20)/2)+IF((VLOOKUP(R20,MogulsDD!$A$1:$D$1000,4,FALSE)*(N20+P20)/2)&gt;3.75,3.75,VLOOKUP(R20,MogulsDD!$A$1:$D$1000,4,FALSE)*(N20+P20)/2)+IF((18-12*S20/$K$5)&gt;7.5,7.5,IF((18-12*S20/$K$5)&lt;0,0,(18-12*S20/$K$5)))</f>
        <v>15.412155480444229</v>
      </c>
      <c r="U20" s="38"/>
      <c r="V20" s="38"/>
      <c r="W20" s="38"/>
      <c r="X20" s="38"/>
      <c r="Y20" s="39"/>
      <c r="Z20" s="38"/>
      <c r="AA20" s="38"/>
      <c r="AB20" s="38"/>
      <c r="AC20" s="38"/>
      <c r="AD20" s="39"/>
      <c r="AE20" s="38"/>
      <c r="AF20" s="38"/>
      <c r="AG20" s="38"/>
      <c r="AH20" s="38"/>
      <c r="AI20" s="39"/>
      <c r="AJ20" s="44"/>
      <c r="AK20" s="39"/>
      <c r="AL20" s="37"/>
      <c r="AM20" s="37"/>
    </row>
    <row r="21" spans="1:39">
      <c r="A21" s="19">
        <f t="shared" si="0"/>
        <v>9</v>
      </c>
      <c r="B21" s="22">
        <v>87</v>
      </c>
      <c r="C21" s="22">
        <v>5</v>
      </c>
      <c r="D21" s="22" t="s">
        <v>153</v>
      </c>
      <c r="E21" s="22"/>
      <c r="F21" s="22" t="s">
        <v>154</v>
      </c>
      <c r="G21" s="22" t="s">
        <v>122</v>
      </c>
      <c r="H21" s="22" t="s">
        <v>155</v>
      </c>
      <c r="I21" s="23" t="s">
        <v>133</v>
      </c>
      <c r="J21" s="27">
        <v>2.9</v>
      </c>
      <c r="K21" s="28">
        <v>2.6</v>
      </c>
      <c r="L21" s="28">
        <v>2.6</v>
      </c>
      <c r="M21" s="52">
        <v>0.3</v>
      </c>
      <c r="N21" s="52">
        <v>1.1000000000000001</v>
      </c>
      <c r="O21" s="49">
        <v>0.2</v>
      </c>
      <c r="P21" s="49">
        <v>1.4</v>
      </c>
      <c r="Q21" s="49" t="s">
        <v>273</v>
      </c>
      <c r="R21" s="49" t="s">
        <v>61</v>
      </c>
      <c r="S21" s="25">
        <v>21.74</v>
      </c>
      <c r="T21" s="26">
        <f>(J21+K21+L21)+IF((VLOOKUP(Q21,MogulsDD!$A$1:$D$1000,4,FALSE)*(M21+O21)/2)&gt;3.75,3.75,VLOOKUP(Q21,MogulsDD!$A$1:$D$1000,4,FALSE)*(M21+O21)/2)+IF((VLOOKUP(R21,MogulsDD!$A$1:$D$1000,4,FALSE)*(N21+P21)/2)&gt;3.75,3.75,VLOOKUP(R21,MogulsDD!$A$1:$D$1000,4,FALSE)*(N21+P21)/2)+IF((18-12*S21/$K$5)&gt;7.5,7.5,IF((18-12*S21/$K$5)&lt;0,0,(18-12*S21/$K$5)))</f>
        <v>15.228186866248189</v>
      </c>
      <c r="U21" s="38"/>
      <c r="V21" s="38"/>
      <c r="W21" s="38"/>
      <c r="X21" s="38"/>
      <c r="Y21" s="39"/>
      <c r="Z21" s="38"/>
      <c r="AA21" s="38"/>
      <c r="AB21" s="38"/>
      <c r="AC21" s="38"/>
      <c r="AD21" s="39"/>
      <c r="AE21" s="38"/>
      <c r="AF21" s="38"/>
      <c r="AG21" s="38"/>
      <c r="AH21" s="38"/>
      <c r="AI21" s="39"/>
      <c r="AJ21" s="44"/>
      <c r="AK21" s="39"/>
      <c r="AL21" s="37"/>
      <c r="AM21" s="37"/>
    </row>
    <row r="22" spans="1:39">
      <c r="A22" s="19">
        <f t="shared" si="0"/>
        <v>10</v>
      </c>
      <c r="B22" s="22">
        <v>93</v>
      </c>
      <c r="C22" s="22">
        <v>8</v>
      </c>
      <c r="D22" s="22" t="s">
        <v>208</v>
      </c>
      <c r="E22" s="22">
        <v>2531506</v>
      </c>
      <c r="F22" s="22" t="s">
        <v>164</v>
      </c>
      <c r="G22" s="22" t="s">
        <v>209</v>
      </c>
      <c r="H22" s="22" t="s">
        <v>210</v>
      </c>
      <c r="I22" s="23" t="s">
        <v>211</v>
      </c>
      <c r="J22" s="27">
        <v>2.8</v>
      </c>
      <c r="K22" s="28">
        <v>2.4</v>
      </c>
      <c r="L22" s="28">
        <v>2.2999999999999998</v>
      </c>
      <c r="M22" s="52">
        <v>1.8</v>
      </c>
      <c r="N22" s="52">
        <v>1</v>
      </c>
      <c r="O22" s="49">
        <v>1.8</v>
      </c>
      <c r="P22" s="49">
        <v>0.8</v>
      </c>
      <c r="Q22" s="49" t="s">
        <v>279</v>
      </c>
      <c r="R22" s="49" t="s">
        <v>273</v>
      </c>
      <c r="S22" s="25">
        <v>22.64</v>
      </c>
      <c r="T22" s="26">
        <f>(J22+K22+L22)+IF((VLOOKUP(Q22,MogulsDD!$A$1:$D$1000,4,FALSE)*(M22+O22)/2)&gt;3.75,3.75,VLOOKUP(Q22,MogulsDD!$A$1:$D$1000,4,FALSE)*(M22+O22)/2)+IF((VLOOKUP(R22,MogulsDD!$A$1:$D$1000,4,FALSE)*(N22+P22)/2)&gt;3.75,3.75,VLOOKUP(R22,MogulsDD!$A$1:$D$1000,4,FALSE)*(N22+P22)/2)+IF((18-12*S22/$K$5)&gt;7.5,7.5,IF((18-12*S22/$K$5)&lt;0,0,(18-12*S22/$K$5)))</f>
        <v>14.559699661999034</v>
      </c>
      <c r="U22" s="38"/>
      <c r="V22" s="38"/>
      <c r="W22" s="38"/>
      <c r="X22" s="38"/>
      <c r="Y22" s="39"/>
      <c r="Z22" s="38"/>
      <c r="AA22" s="38"/>
      <c r="AB22" s="38"/>
      <c r="AC22" s="38"/>
      <c r="AD22" s="39"/>
      <c r="AE22" s="38"/>
      <c r="AF22" s="38"/>
      <c r="AG22" s="38"/>
      <c r="AH22" s="38"/>
      <c r="AI22" s="39"/>
      <c r="AJ22" s="44"/>
      <c r="AK22" s="39"/>
      <c r="AL22" s="37"/>
      <c r="AM22" s="37"/>
    </row>
    <row r="23" spans="1:39">
      <c r="A23" s="19">
        <f t="shared" si="0"/>
        <v>11</v>
      </c>
      <c r="B23" s="22">
        <v>72</v>
      </c>
      <c r="C23" s="22">
        <v>6</v>
      </c>
      <c r="D23" s="22" t="s">
        <v>234</v>
      </c>
      <c r="E23" s="22"/>
      <c r="F23" s="22"/>
      <c r="G23" s="22" t="s">
        <v>240</v>
      </c>
      <c r="H23" s="22" t="s">
        <v>249</v>
      </c>
      <c r="I23" s="23"/>
      <c r="J23" s="27">
        <v>2</v>
      </c>
      <c r="K23" s="28">
        <v>2</v>
      </c>
      <c r="L23" s="28">
        <v>1.7</v>
      </c>
      <c r="M23" s="52">
        <v>0</v>
      </c>
      <c r="N23" s="52">
        <v>0.5</v>
      </c>
      <c r="O23" s="49">
        <v>0</v>
      </c>
      <c r="P23" s="49">
        <v>0.6</v>
      </c>
      <c r="Q23" s="54" t="s">
        <v>280</v>
      </c>
      <c r="R23" s="54" t="s">
        <v>279</v>
      </c>
      <c r="S23" s="25">
        <v>25.22</v>
      </c>
      <c r="T23" s="26">
        <f>(J23+K23+L23)+IF((VLOOKUP(Q23,MogulsDD!$A$1:$D$1000,4,FALSE)*(M23+O23)/2)&gt;3.75,3.75,VLOOKUP(Q23,MogulsDD!$A$1:$D$1000,4,FALSE)*(M23+O23)/2)+IF((VLOOKUP(R23,MogulsDD!$A$1:$D$1000,4,FALSE)*(N23+P23)/2)&gt;3.75,3.75,VLOOKUP(R23,MogulsDD!$A$1:$D$1000,4,FALSE)*(N23+P23)/2)+IF((18-12*S23/$K$5)&gt;7.5,7.5,IF((18-12*S23/$K$5)&lt;0,0,(18-12*S23/$K$5)))</f>
        <v>9.5047696764847913</v>
      </c>
      <c r="U23" s="38"/>
      <c r="V23" s="38"/>
      <c r="W23" s="38"/>
      <c r="X23" s="38"/>
      <c r="Y23" s="39"/>
      <c r="Z23" s="38"/>
      <c r="AA23" s="38"/>
      <c r="AB23" s="38"/>
      <c r="AC23" s="38"/>
      <c r="AD23" s="39"/>
      <c r="AE23" s="38"/>
      <c r="AF23" s="38"/>
      <c r="AG23" s="38"/>
      <c r="AH23" s="38"/>
      <c r="AI23" s="39"/>
      <c r="AJ23" s="44"/>
      <c r="AK23" s="39"/>
      <c r="AL23" s="37"/>
      <c r="AM23" s="37"/>
    </row>
    <row r="24" spans="1:39">
      <c r="A24" s="19">
        <f t="shared" si="0"/>
        <v>12</v>
      </c>
      <c r="B24" s="22">
        <v>85</v>
      </c>
      <c r="C24" s="22">
        <v>4</v>
      </c>
      <c r="D24" s="22" t="s">
        <v>212</v>
      </c>
      <c r="E24" s="22">
        <v>2532171</v>
      </c>
      <c r="F24" s="22" t="s">
        <v>206</v>
      </c>
      <c r="G24" s="22" t="s">
        <v>207</v>
      </c>
      <c r="H24" s="22" t="s">
        <v>245</v>
      </c>
      <c r="I24" s="23" t="s">
        <v>213</v>
      </c>
      <c r="J24" s="27">
        <v>0</v>
      </c>
      <c r="K24" s="28">
        <v>0</v>
      </c>
      <c r="L24" s="28">
        <v>0</v>
      </c>
      <c r="M24" s="52">
        <v>0</v>
      </c>
      <c r="N24" s="52">
        <v>0</v>
      </c>
      <c r="O24" s="49">
        <v>0</v>
      </c>
      <c r="P24" s="49">
        <v>0</v>
      </c>
      <c r="Q24" s="49" t="s">
        <v>63</v>
      </c>
      <c r="R24" s="49" t="s">
        <v>63</v>
      </c>
      <c r="S24" s="25">
        <v>9999</v>
      </c>
      <c r="T24" s="26">
        <f>(J24+K24+L24)+IF((VLOOKUP(Q24,MogulsDD!$A$1:$D$1000,4,FALSE)*(M24+O24)/2)&gt;3.75,3.75,VLOOKUP(Q24,MogulsDD!$A$1:$D$1000,4,FALSE)*(M24+O24)/2)+IF((VLOOKUP(R24,MogulsDD!$A$1:$D$1000,4,FALSE)*(N24+P24)/2)&gt;3.75,3.75,VLOOKUP(R24,MogulsDD!$A$1:$D$1000,4,FALSE)*(N24+P24)/2)+IF((18-12*S24/$K$5)&gt;7.5,7.5,IF((18-12*S24/$K$5)&lt;0,0,(18-12*S24/$K$5)))</f>
        <v>0</v>
      </c>
      <c r="U24" s="38"/>
      <c r="V24" s="38"/>
      <c r="W24" s="38"/>
      <c r="X24" s="38"/>
      <c r="Y24" s="39"/>
      <c r="Z24" s="38"/>
      <c r="AA24" s="38"/>
      <c r="AB24" s="38"/>
      <c r="AC24" s="38"/>
      <c r="AD24" s="39"/>
      <c r="AE24" s="38"/>
      <c r="AF24" s="38"/>
      <c r="AG24" s="38"/>
      <c r="AH24" s="38"/>
      <c r="AI24" s="39"/>
      <c r="AJ24" s="44"/>
      <c r="AK24" s="39"/>
      <c r="AL24" s="37"/>
      <c r="AM24" s="37"/>
    </row>
    <row r="25" spans="1:39">
      <c r="A25" s="19">
        <f t="shared" si="0"/>
        <v>12</v>
      </c>
      <c r="B25" s="22"/>
      <c r="C25" s="22"/>
      <c r="D25" s="22"/>
      <c r="E25" s="22"/>
      <c r="F25" s="22"/>
      <c r="G25" s="22"/>
      <c r="H25" s="100"/>
      <c r="I25" s="23"/>
      <c r="J25" s="27"/>
      <c r="K25" s="28"/>
      <c r="L25" s="28"/>
      <c r="M25" s="52"/>
      <c r="N25" s="52"/>
      <c r="O25" s="49"/>
      <c r="P25" s="49"/>
      <c r="Q25" s="49" t="s">
        <v>63</v>
      </c>
      <c r="R25" s="49" t="s">
        <v>63</v>
      </c>
      <c r="S25" s="25">
        <v>9999</v>
      </c>
      <c r="T25" s="26">
        <f>(J25+K25+L25)+IF((VLOOKUP(Q25,MogulsDD!$A$1:$D$1000,4,FALSE)*(M25+O25)/2)&gt;3.75,3.75,VLOOKUP(Q25,MogulsDD!$A$1:$D$1000,4,FALSE)*(M25+O25)/2)+IF((VLOOKUP(R25,MogulsDD!$A$1:$D$1000,4,FALSE)*(N25+P25)/2)&gt;3.75,3.75,VLOOKUP(R25,MogulsDD!$A$1:$D$1000,4,FALSE)*(N25+P25)/2)+IF((18-12*S25/$K$5)&gt;7.5,7.5,IF((18-12*S25/$K$5)&lt;0,0,(18-12*S25/$K$5)))</f>
        <v>0</v>
      </c>
      <c r="U25" s="38"/>
      <c r="V25" s="38"/>
      <c r="W25" s="38"/>
      <c r="X25" s="38"/>
      <c r="Y25" s="39"/>
      <c r="Z25" s="38"/>
      <c r="AA25" s="38"/>
      <c r="AB25" s="38"/>
      <c r="AC25" s="38"/>
      <c r="AD25" s="39"/>
      <c r="AE25" s="38"/>
      <c r="AF25" s="38"/>
      <c r="AG25" s="38"/>
      <c r="AH25" s="38"/>
      <c r="AI25" s="39"/>
      <c r="AJ25" s="44"/>
      <c r="AK25" s="39"/>
      <c r="AL25" s="37"/>
      <c r="AM25" s="37"/>
    </row>
    <row r="26" spans="1:39" ht="13.8" thickBot="1">
      <c r="A26" s="7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47"/>
      <c r="U26" s="38"/>
      <c r="V26" s="38"/>
      <c r="W26" s="38"/>
      <c r="X26" s="38"/>
      <c r="Y26" s="39"/>
      <c r="Z26" s="38"/>
      <c r="AA26" s="38"/>
      <c r="AB26" s="38"/>
      <c r="AC26" s="38"/>
      <c r="AD26" s="38"/>
      <c r="AE26" s="38"/>
      <c r="AF26" s="38"/>
      <c r="AG26" s="38"/>
      <c r="AH26" s="38"/>
      <c r="AI26" s="39"/>
      <c r="AJ26" s="38"/>
      <c r="AK26" s="39"/>
      <c r="AL26" s="37"/>
      <c r="AM26" s="37"/>
    </row>
    <row r="27" spans="1:39" ht="13.8" thickBot="1">
      <c r="A27" s="12"/>
      <c r="B27" s="11"/>
      <c r="C27" s="9"/>
      <c r="D27" s="9"/>
      <c r="E27" s="31" t="s">
        <v>229</v>
      </c>
      <c r="F27" s="9"/>
      <c r="G27" s="9"/>
      <c r="H27" s="9"/>
      <c r="I27" s="10"/>
      <c r="J27" s="21"/>
      <c r="K27" s="9"/>
      <c r="L27" s="9"/>
      <c r="M27" s="9"/>
      <c r="N27" s="9"/>
      <c r="O27" s="9"/>
      <c r="P27" s="9"/>
      <c r="Q27" s="9"/>
      <c r="R27" s="9"/>
      <c r="S27" s="9"/>
      <c r="T27" s="48"/>
      <c r="U27" s="38"/>
      <c r="V27" s="38"/>
      <c r="W27" s="38"/>
      <c r="X27" s="38"/>
      <c r="Y27" s="38"/>
      <c r="Z27" s="38"/>
      <c r="AA27" s="38"/>
      <c r="AB27" s="38"/>
      <c r="AC27" s="38"/>
      <c r="AD27" s="40"/>
      <c r="AE27" s="38"/>
      <c r="AF27" s="38"/>
      <c r="AG27" s="38"/>
      <c r="AH27" s="38"/>
      <c r="AI27" s="40"/>
      <c r="AJ27" s="38"/>
      <c r="AK27" s="39"/>
      <c r="AL27" s="37"/>
      <c r="AM27" s="37"/>
    </row>
    <row r="28" spans="1:39" ht="13.8" thickBot="1">
      <c r="A28" s="2"/>
      <c r="B28" s="3" t="s">
        <v>1</v>
      </c>
      <c r="C28" s="3" t="s">
        <v>252</v>
      </c>
      <c r="D28" s="3" t="s">
        <v>111</v>
      </c>
      <c r="E28" s="3" t="s">
        <v>238</v>
      </c>
      <c r="F28" s="3" t="s">
        <v>101</v>
      </c>
      <c r="G28" s="3" t="s">
        <v>3</v>
      </c>
      <c r="H28" s="3" t="s">
        <v>4</v>
      </c>
      <c r="I28" s="4" t="s">
        <v>5</v>
      </c>
      <c r="J28" s="2" t="s">
        <v>11</v>
      </c>
      <c r="K28" s="3" t="s">
        <v>12</v>
      </c>
      <c r="L28" s="3" t="s">
        <v>15</v>
      </c>
      <c r="M28" s="3" t="s">
        <v>66</v>
      </c>
      <c r="N28" s="3" t="s">
        <v>65</v>
      </c>
      <c r="O28" s="3" t="s">
        <v>67</v>
      </c>
      <c r="P28" s="3" t="s">
        <v>68</v>
      </c>
      <c r="Q28" s="3" t="s">
        <v>59</v>
      </c>
      <c r="R28" s="3" t="s">
        <v>60</v>
      </c>
      <c r="S28" s="3"/>
      <c r="T28" s="46" t="s">
        <v>14</v>
      </c>
      <c r="U28" s="41"/>
      <c r="V28" s="41"/>
      <c r="W28" s="41"/>
      <c r="X28" s="41"/>
      <c r="Y28" s="42"/>
      <c r="Z28" s="41"/>
      <c r="AA28" s="41"/>
      <c r="AB28" s="41"/>
      <c r="AC28" s="41"/>
      <c r="AD28" s="42"/>
      <c r="AE28" s="41"/>
      <c r="AF28" s="41"/>
      <c r="AG28" s="41"/>
      <c r="AH28" s="41"/>
      <c r="AI28" s="42"/>
      <c r="AJ28" s="43"/>
      <c r="AK28" s="39"/>
      <c r="AL28" s="37"/>
      <c r="AM28" s="37"/>
    </row>
    <row r="29" spans="1:39">
      <c r="A29" s="19">
        <f t="shared" ref="A29:A41" si="1">RANK(T29,$T$29:$T$41,0)</f>
        <v>1</v>
      </c>
      <c r="B29" s="32">
        <v>115</v>
      </c>
      <c r="C29" s="22">
        <v>14</v>
      </c>
      <c r="D29" s="22" t="s">
        <v>118</v>
      </c>
      <c r="E29" s="22">
        <v>2528768</v>
      </c>
      <c r="F29" s="22" t="s">
        <v>119</v>
      </c>
      <c r="G29" s="22" t="s">
        <v>129</v>
      </c>
      <c r="H29" s="22" t="s">
        <v>120</v>
      </c>
      <c r="I29" s="23" t="s">
        <v>121</v>
      </c>
      <c r="J29" s="24">
        <v>4.8</v>
      </c>
      <c r="K29" s="25">
        <v>4.5999999999999996</v>
      </c>
      <c r="L29" s="25">
        <v>4.5999999999999996</v>
      </c>
      <c r="M29" s="51">
        <v>2.5</v>
      </c>
      <c r="N29" s="51">
        <v>2.2999999999999998</v>
      </c>
      <c r="O29" s="49">
        <v>2.2999999999999998</v>
      </c>
      <c r="P29" s="49">
        <v>2.2000000000000002</v>
      </c>
      <c r="Q29" s="49" t="s">
        <v>284</v>
      </c>
      <c r="R29" s="49" t="s">
        <v>285</v>
      </c>
      <c r="S29" s="25">
        <v>17.75</v>
      </c>
      <c r="T29" s="26">
        <f>(J29+K29+L29)+IF((VLOOKUP(Q29,MogulsDD!$A$1:$C$1000,3,FALSE)*(M29+O29)/2)&gt;3.75,3.75,VLOOKUP(Q29,MogulsDD!$A$1:$C$1000,3,FALSE)*(M29+O29)/2)+IF((VLOOKUP(R29,MogulsDD!$A$1:$C$1000,3,FALSE)*(N29+P29)/2)&gt;3.75,3.75,VLOOKUP(R29,MogulsDD!$A$1:$C$1000,3,FALSE)*(N29+P29)/2)+IF((18-12*S29/$J$5)&gt;7.5,7.5,IF((18-12*S29/$J$5)&lt;0,0,(18-12*S29/$J$5)))</f>
        <v>25.029563175867956</v>
      </c>
      <c r="U29" s="38"/>
      <c r="V29" s="38"/>
      <c r="W29" s="38"/>
      <c r="X29" s="38"/>
      <c r="Y29" s="39"/>
      <c r="Z29" s="38"/>
      <c r="AA29" s="38"/>
      <c r="AB29" s="38"/>
      <c r="AC29" s="38"/>
      <c r="AD29" s="39"/>
      <c r="AE29" s="38"/>
      <c r="AF29" s="38"/>
      <c r="AG29" s="38"/>
      <c r="AH29" s="38"/>
      <c r="AI29" s="39"/>
      <c r="AJ29" s="44"/>
      <c r="AK29" s="39"/>
      <c r="AL29" s="37"/>
      <c r="AM29" s="37"/>
    </row>
    <row r="30" spans="1:39">
      <c r="A30" s="19">
        <f t="shared" si="1"/>
        <v>2</v>
      </c>
      <c r="B30" s="32">
        <v>88</v>
      </c>
      <c r="C30" s="22">
        <v>9</v>
      </c>
      <c r="D30" s="22" t="s">
        <v>168</v>
      </c>
      <c r="E30" s="22"/>
      <c r="F30" s="22" t="s">
        <v>164</v>
      </c>
      <c r="G30" s="22" t="s">
        <v>209</v>
      </c>
      <c r="H30" s="22" t="s">
        <v>169</v>
      </c>
      <c r="I30" s="23" t="s">
        <v>103</v>
      </c>
      <c r="J30" s="27">
        <v>4.4000000000000004</v>
      </c>
      <c r="K30" s="28">
        <v>4.4000000000000004</v>
      </c>
      <c r="L30" s="28">
        <v>4.5</v>
      </c>
      <c r="M30" s="52">
        <v>2</v>
      </c>
      <c r="N30" s="52">
        <v>2.2000000000000002</v>
      </c>
      <c r="O30" s="49">
        <v>2.2000000000000002</v>
      </c>
      <c r="P30" s="49">
        <v>2.1</v>
      </c>
      <c r="Q30" s="49" t="s">
        <v>284</v>
      </c>
      <c r="R30" s="49" t="s">
        <v>272</v>
      </c>
      <c r="S30" s="25">
        <v>17.420000000000002</v>
      </c>
      <c r="T30" s="26">
        <f>(J30+K30+L30)+IF((VLOOKUP(Q30,MogulsDD!$A$1:$C$1000,3,FALSE)*(M30+O30)/2)&gt;3.75,3.75,VLOOKUP(Q30,MogulsDD!$A$1:$C$1000,3,FALSE)*(M30+O30)/2)+IF((VLOOKUP(R30,MogulsDD!$A$1:$C$1000,3,FALSE)*(N30+P30)/2)&gt;3.75,3.75,VLOOKUP(R30,MogulsDD!$A$1:$C$1000,3,FALSE)*(N30+P30)/2)+IF((18-12*S30/$J$5)&gt;7.5,7.5,IF((18-12*S30/$J$5)&lt;0,0,(18-12*S30/$J$5)))</f>
        <v>23.972447353443371</v>
      </c>
      <c r="U30" s="38"/>
      <c r="V30" s="38"/>
      <c r="W30" s="38"/>
      <c r="X30" s="38"/>
      <c r="Y30" s="39"/>
      <c r="Z30" s="38"/>
      <c r="AA30" s="38"/>
      <c r="AB30" s="38"/>
      <c r="AC30" s="38"/>
      <c r="AD30" s="39"/>
      <c r="AE30" s="38"/>
      <c r="AF30" s="38"/>
      <c r="AG30" s="38"/>
      <c r="AH30" s="38"/>
      <c r="AI30" s="39"/>
      <c r="AJ30" s="44"/>
      <c r="AK30" s="39"/>
      <c r="AL30" s="37"/>
      <c r="AM30" s="37"/>
    </row>
    <row r="31" spans="1:39">
      <c r="A31" s="19">
        <f t="shared" si="1"/>
        <v>3</v>
      </c>
      <c r="B31" s="32">
        <v>100</v>
      </c>
      <c r="C31" s="22">
        <v>20</v>
      </c>
      <c r="D31" s="22" t="s">
        <v>203</v>
      </c>
      <c r="E31" s="22"/>
      <c r="F31" s="22" t="s">
        <v>164</v>
      </c>
      <c r="G31" s="22" t="s">
        <v>209</v>
      </c>
      <c r="H31" s="22" t="s">
        <v>204</v>
      </c>
      <c r="I31" s="23" t="s">
        <v>115</v>
      </c>
      <c r="J31" s="27">
        <v>4.3</v>
      </c>
      <c r="K31" s="28">
        <v>4.4000000000000004</v>
      </c>
      <c r="L31" s="28">
        <v>4.5</v>
      </c>
      <c r="M31" s="52">
        <v>2.1</v>
      </c>
      <c r="N31" s="52">
        <v>2.2999999999999998</v>
      </c>
      <c r="O31" s="49">
        <v>2.1</v>
      </c>
      <c r="P31" s="49">
        <v>2.1</v>
      </c>
      <c r="Q31" s="49" t="s">
        <v>270</v>
      </c>
      <c r="R31" s="49" t="s">
        <v>286</v>
      </c>
      <c r="S31" s="25">
        <v>18.55</v>
      </c>
      <c r="T31" s="26">
        <f>(J31+K31+L31)+IF((VLOOKUP(Q31,MogulsDD!$A$1:$C$1000,3,FALSE)*(M31+O31)/2)&gt;3.75,3.75,VLOOKUP(Q31,MogulsDD!$A$1:$C$1000,3,FALSE)*(M31+O31)/2)+IF((VLOOKUP(R31,MogulsDD!$A$1:$C$1000,3,FALSE)*(N31+P31)/2)&gt;3.75,3.75,VLOOKUP(R31,MogulsDD!$A$1:$C$1000,3,FALSE)*(N31+P31)/2)+IF((18-12*S31/$J$5)&gt;7.5,7.5,IF((18-12*S31/$J$5)&lt;0,0,(18-12*S31/$J$5)))</f>
        <v>23.133677290836651</v>
      </c>
      <c r="U31" s="38"/>
      <c r="V31" s="38"/>
      <c r="W31" s="38"/>
      <c r="X31" s="38"/>
      <c r="Y31" s="39"/>
      <c r="Z31" s="38"/>
      <c r="AA31" s="38"/>
      <c r="AB31" s="38"/>
      <c r="AC31" s="38"/>
      <c r="AD31" s="39"/>
      <c r="AE31" s="38"/>
      <c r="AF31" s="38"/>
      <c r="AG31" s="38"/>
      <c r="AH31" s="38"/>
      <c r="AI31" s="39"/>
      <c r="AJ31" s="44"/>
      <c r="AK31" s="39"/>
      <c r="AL31" s="37"/>
      <c r="AM31" s="37"/>
    </row>
    <row r="32" spans="1:39">
      <c r="A32" s="19">
        <f t="shared" si="1"/>
        <v>4</v>
      </c>
      <c r="B32" s="32">
        <v>56</v>
      </c>
      <c r="C32" s="22">
        <v>7</v>
      </c>
      <c r="D32" s="22" t="s">
        <v>172</v>
      </c>
      <c r="E32" s="22">
        <v>2531748</v>
      </c>
      <c r="F32" s="22" t="s">
        <v>173</v>
      </c>
      <c r="G32" s="22" t="s">
        <v>239</v>
      </c>
      <c r="H32" s="22" t="s">
        <v>174</v>
      </c>
      <c r="I32" s="23" t="s">
        <v>175</v>
      </c>
      <c r="J32" s="27">
        <v>4.0999999999999996</v>
      </c>
      <c r="K32" s="28">
        <v>4.2</v>
      </c>
      <c r="L32" s="28">
        <v>4.5</v>
      </c>
      <c r="M32" s="52">
        <v>1.9</v>
      </c>
      <c r="N32" s="52">
        <v>2</v>
      </c>
      <c r="O32" s="49">
        <v>2</v>
      </c>
      <c r="P32" s="49">
        <v>2</v>
      </c>
      <c r="Q32" s="49" t="s">
        <v>270</v>
      </c>
      <c r="R32" s="49" t="s">
        <v>272</v>
      </c>
      <c r="S32" s="25">
        <v>17.52</v>
      </c>
      <c r="T32" s="26">
        <f>(J32+K32+L32)+IF((VLOOKUP(Q32,MogulsDD!$A$1:$C$1000,3,FALSE)*(M32+O32)/2)&gt;3.75,3.75,VLOOKUP(Q32,MogulsDD!$A$1:$C$1000,3,FALSE)*(M32+O32)/2)+IF((VLOOKUP(R32,MogulsDD!$A$1:$C$1000,3,FALSE)*(N32+P32)/2)&gt;3.75,3.75,VLOOKUP(R32,MogulsDD!$A$1:$C$1000,3,FALSE)*(N32+P32)/2)+IF((18-12*S32/$J$5)&gt;7.5,7.5,IF((18-12*S32/$J$5)&lt;0,0,(18-12*S32/$J$5)))</f>
        <v>23.081649117814457</v>
      </c>
      <c r="U32" s="38"/>
      <c r="V32" s="38"/>
      <c r="W32" s="38"/>
      <c r="X32" s="38"/>
      <c r="Y32" s="39"/>
      <c r="Z32" s="38"/>
      <c r="AA32" s="38"/>
      <c r="AB32" s="38"/>
      <c r="AC32" s="38"/>
      <c r="AD32" s="39"/>
      <c r="AE32" s="38"/>
      <c r="AF32" s="38"/>
      <c r="AG32" s="38"/>
      <c r="AH32" s="38"/>
      <c r="AI32" s="39"/>
      <c r="AJ32" s="44"/>
      <c r="AK32" s="39"/>
      <c r="AL32" s="37"/>
      <c r="AM32" s="37"/>
    </row>
    <row r="33" spans="1:39">
      <c r="A33" s="19">
        <f t="shared" si="1"/>
        <v>5</v>
      </c>
      <c r="B33" s="32">
        <v>49</v>
      </c>
      <c r="C33" s="22">
        <v>4</v>
      </c>
      <c r="D33" s="22" t="s">
        <v>170</v>
      </c>
      <c r="E33" s="22">
        <v>2529840</v>
      </c>
      <c r="F33" s="22" t="s">
        <v>164</v>
      </c>
      <c r="G33" s="22" t="s">
        <v>209</v>
      </c>
      <c r="H33" s="22" t="s">
        <v>171</v>
      </c>
      <c r="I33" s="23" t="s">
        <v>103</v>
      </c>
      <c r="J33" s="27">
        <v>4.2</v>
      </c>
      <c r="K33" s="28">
        <v>4.3</v>
      </c>
      <c r="L33" s="28">
        <v>4.4000000000000004</v>
      </c>
      <c r="M33" s="52">
        <v>2.2999999999999998</v>
      </c>
      <c r="N33" s="52">
        <v>2</v>
      </c>
      <c r="O33" s="49">
        <v>2.2999999999999998</v>
      </c>
      <c r="P33" s="49">
        <v>2</v>
      </c>
      <c r="Q33" s="49" t="s">
        <v>270</v>
      </c>
      <c r="R33" s="49" t="s">
        <v>272</v>
      </c>
      <c r="S33" s="25">
        <v>18.940000000000001</v>
      </c>
      <c r="T33" s="26">
        <f>(J33+K33+L33)+IF((VLOOKUP(Q33,MogulsDD!$A$1:$C$1000,3,FALSE)*(M33+O33)/2)&gt;3.75,3.75,VLOOKUP(Q33,MogulsDD!$A$1:$C$1000,3,FALSE)*(M33+O33)/2)+IF((VLOOKUP(R33,MogulsDD!$A$1:$C$1000,3,FALSE)*(N33+P33)/2)&gt;3.75,3.75,VLOOKUP(R33,MogulsDD!$A$1:$C$1000,3,FALSE)*(N33+P33)/2)+IF((18-12*S33/$J$5)&gt;7.5,7.5,IF((18-12*S33/$J$5)&lt;0,0,(18-12*S33/$J$5)))</f>
        <v>22.579314171883894</v>
      </c>
      <c r="U33" s="38"/>
      <c r="V33" s="38"/>
      <c r="W33" s="38"/>
      <c r="X33" s="38"/>
      <c r="Y33" s="39"/>
      <c r="Z33" s="38"/>
      <c r="AA33" s="38"/>
      <c r="AB33" s="38"/>
      <c r="AC33" s="38"/>
      <c r="AD33" s="39"/>
      <c r="AE33" s="38"/>
      <c r="AF33" s="38"/>
      <c r="AG33" s="38"/>
      <c r="AH33" s="38"/>
      <c r="AI33" s="39"/>
      <c r="AJ33" s="44"/>
      <c r="AK33" s="39"/>
      <c r="AL33" s="37"/>
      <c r="AM33" s="37"/>
    </row>
    <row r="34" spans="1:39">
      <c r="A34" s="19">
        <f t="shared" si="1"/>
        <v>6</v>
      </c>
      <c r="B34" s="32">
        <v>97</v>
      </c>
      <c r="C34" s="22">
        <v>22</v>
      </c>
      <c r="D34" s="22" t="s">
        <v>159</v>
      </c>
      <c r="E34" s="22"/>
      <c r="F34" s="22" t="s">
        <v>160</v>
      </c>
      <c r="G34" s="22" t="s">
        <v>122</v>
      </c>
      <c r="H34" s="99" t="s">
        <v>161</v>
      </c>
      <c r="I34" s="23" t="s">
        <v>162</v>
      </c>
      <c r="J34" s="27">
        <v>4.2</v>
      </c>
      <c r="K34" s="28">
        <v>4.0999999999999996</v>
      </c>
      <c r="L34" s="28">
        <v>4.3</v>
      </c>
      <c r="M34" s="52">
        <v>2.1</v>
      </c>
      <c r="N34" s="52">
        <v>1.9</v>
      </c>
      <c r="O34" s="49">
        <v>2.2000000000000002</v>
      </c>
      <c r="P34" s="49">
        <v>1.7</v>
      </c>
      <c r="Q34" s="49" t="s">
        <v>284</v>
      </c>
      <c r="R34" s="49" t="s">
        <v>286</v>
      </c>
      <c r="S34" s="25">
        <v>18.809999999999999</v>
      </c>
      <c r="T34" s="26">
        <f>(J34+K34+L34)+IF((VLOOKUP(Q34,MogulsDD!$A$1:$C$1000,3,FALSE)*(M34+O34)/2)&gt;3.75,3.75,VLOOKUP(Q34,MogulsDD!$A$1:$C$1000,3,FALSE)*(M34+O34)/2)+IF((VLOOKUP(R34,MogulsDD!$A$1:$C$1000,3,FALSE)*(N34+P34)/2)&gt;3.75,3.75,VLOOKUP(R34,MogulsDD!$A$1:$C$1000,3,FALSE)*(N34+P34)/2)+IF((18-12*S34/$J$5)&gt;7.5,7.5,IF((18-12*S34/$J$5)&lt;0,0,(18-12*S34/$J$5)))</f>
        <v>21.97260187820148</v>
      </c>
      <c r="U34" s="38"/>
      <c r="V34" s="38"/>
      <c r="W34" s="38"/>
      <c r="X34" s="38"/>
      <c r="Y34" s="39"/>
      <c r="Z34" s="38"/>
      <c r="AA34" s="38"/>
      <c r="AB34" s="38"/>
      <c r="AC34" s="38"/>
      <c r="AD34" s="39"/>
      <c r="AE34" s="38"/>
      <c r="AF34" s="38"/>
      <c r="AG34" s="38"/>
      <c r="AH34" s="38"/>
      <c r="AI34" s="39"/>
      <c r="AJ34" s="44"/>
      <c r="AK34" s="39"/>
      <c r="AL34" s="37"/>
      <c r="AM34" s="37"/>
    </row>
    <row r="35" spans="1:39">
      <c r="A35" s="19">
        <f t="shared" si="1"/>
        <v>7</v>
      </c>
      <c r="B35" s="32">
        <v>95</v>
      </c>
      <c r="C35" s="22">
        <v>11</v>
      </c>
      <c r="D35" s="22" t="s">
        <v>134</v>
      </c>
      <c r="E35" s="22"/>
      <c r="F35" s="22" t="s">
        <v>135</v>
      </c>
      <c r="G35" s="22" t="s">
        <v>138</v>
      </c>
      <c r="H35" s="22" t="s">
        <v>136</v>
      </c>
      <c r="I35" s="23" t="s">
        <v>137</v>
      </c>
      <c r="J35" s="27">
        <v>4.3</v>
      </c>
      <c r="K35" s="28">
        <v>4.4000000000000004</v>
      </c>
      <c r="L35" s="28">
        <v>4.4000000000000004</v>
      </c>
      <c r="M35" s="52">
        <v>2.2000000000000002</v>
      </c>
      <c r="N35" s="52">
        <v>2</v>
      </c>
      <c r="O35" s="49">
        <v>2.2000000000000002</v>
      </c>
      <c r="P35" s="49">
        <v>2</v>
      </c>
      <c r="Q35" s="49" t="s">
        <v>61</v>
      </c>
      <c r="R35" s="49" t="s">
        <v>284</v>
      </c>
      <c r="S35" s="25">
        <v>20.07</v>
      </c>
      <c r="T35" s="26">
        <f>(J35+K35+L35)+IF((VLOOKUP(Q35,MogulsDD!$A$1:$C$1000,3,FALSE)*(M35+O35)/2)&gt;3.75,3.75,VLOOKUP(Q35,MogulsDD!$A$1:$C$1000,3,FALSE)*(M35+O35)/2)+IF((VLOOKUP(R35,MogulsDD!$A$1:$C$1000,3,FALSE)*(N35+P35)/2)&gt;3.75,3.75,VLOOKUP(R35,MogulsDD!$A$1:$C$1000,3,FALSE)*(N35+P35)/2)+IF((18-12*S35/$J$5)&gt;7.5,7.5,IF((18-12*S35/$J$5)&lt;0,0,(18-12*S35/$J$5)))</f>
        <v>21.802544109277179</v>
      </c>
      <c r="U35" s="38"/>
      <c r="V35" s="38"/>
      <c r="W35" s="38"/>
      <c r="X35" s="38"/>
      <c r="Y35" s="39"/>
      <c r="Z35" s="38"/>
      <c r="AA35" s="38"/>
      <c r="AB35" s="38"/>
      <c r="AC35" s="38"/>
      <c r="AD35" s="39"/>
      <c r="AE35" s="38"/>
      <c r="AF35" s="38"/>
      <c r="AG35" s="38"/>
      <c r="AH35" s="38"/>
      <c r="AI35" s="39"/>
      <c r="AJ35" s="44"/>
      <c r="AK35" s="39"/>
      <c r="AL35" s="37"/>
      <c r="AM35" s="37"/>
    </row>
    <row r="36" spans="1:39">
      <c r="A36" s="19">
        <f t="shared" si="1"/>
        <v>8</v>
      </c>
      <c r="B36" s="32">
        <v>18</v>
      </c>
      <c r="C36" s="22">
        <v>13</v>
      </c>
      <c r="D36" s="22" t="s">
        <v>123</v>
      </c>
      <c r="E36" s="22">
        <v>2531086</v>
      </c>
      <c r="F36" s="22" t="s">
        <v>124</v>
      </c>
      <c r="G36" s="22" t="s">
        <v>122</v>
      </c>
      <c r="H36" s="22" t="s">
        <v>125</v>
      </c>
      <c r="I36" s="23" t="s">
        <v>126</v>
      </c>
      <c r="J36" s="27">
        <v>3.7</v>
      </c>
      <c r="K36" s="28">
        <v>4.0999999999999996</v>
      </c>
      <c r="L36" s="28">
        <v>4.2</v>
      </c>
      <c r="M36" s="52">
        <v>1.7</v>
      </c>
      <c r="N36" s="52">
        <v>1.7</v>
      </c>
      <c r="O36" s="49">
        <v>1.5</v>
      </c>
      <c r="P36" s="49">
        <v>1.5</v>
      </c>
      <c r="Q36" s="49" t="s">
        <v>270</v>
      </c>
      <c r="R36" s="49" t="s">
        <v>286</v>
      </c>
      <c r="S36" s="25">
        <v>20.05</v>
      </c>
      <c r="T36" s="26">
        <f>(J36+K36+L36)+IF((VLOOKUP(Q36,MogulsDD!$A$1:$C$1000,3,FALSE)*(M36+O36)/2)&gt;3.75,3.75,VLOOKUP(Q36,MogulsDD!$A$1:$C$1000,3,FALSE)*(M36+O36)/2)+IF((VLOOKUP(R36,MogulsDD!$A$1:$C$1000,3,FALSE)*(N36+P36)/2)&gt;3.75,3.75,VLOOKUP(R36,MogulsDD!$A$1:$C$1000,3,FALSE)*(N36+P36)/2)+IF((18-12*S36/$J$5)&gt;7.5,7.5,IF((18-12*S36/$J$5)&lt;0,0,(18-12*S36/$J$5)))</f>
        <v>19.730203756402958</v>
      </c>
      <c r="U36" s="38"/>
      <c r="V36" s="38"/>
      <c r="W36" s="38"/>
      <c r="X36" s="38"/>
      <c r="Y36" s="39"/>
      <c r="Z36" s="38"/>
      <c r="AA36" s="38"/>
      <c r="AB36" s="38"/>
      <c r="AC36" s="38"/>
      <c r="AD36" s="39"/>
      <c r="AE36" s="38"/>
      <c r="AF36" s="38"/>
      <c r="AG36" s="38"/>
      <c r="AH36" s="38"/>
      <c r="AI36" s="39"/>
      <c r="AJ36" s="44"/>
      <c r="AK36" s="39"/>
      <c r="AL36" s="37"/>
      <c r="AM36" s="37"/>
    </row>
    <row r="37" spans="1:39">
      <c r="A37" s="19">
        <f t="shared" si="1"/>
        <v>9</v>
      </c>
      <c r="B37" s="32">
        <v>44</v>
      </c>
      <c r="C37" s="22">
        <v>3</v>
      </c>
      <c r="D37" s="22" t="s">
        <v>110</v>
      </c>
      <c r="E37" s="22">
        <v>2531950</v>
      </c>
      <c r="F37" s="22" t="s">
        <v>106</v>
      </c>
      <c r="G37" s="22" t="s">
        <v>122</v>
      </c>
      <c r="H37" s="22" t="s">
        <v>102</v>
      </c>
      <c r="I37" s="23" t="s">
        <v>103</v>
      </c>
      <c r="J37" s="27">
        <v>3.5</v>
      </c>
      <c r="K37" s="28">
        <v>3.9</v>
      </c>
      <c r="L37" s="28">
        <v>4</v>
      </c>
      <c r="M37" s="52">
        <v>1</v>
      </c>
      <c r="N37" s="52">
        <v>1.8</v>
      </c>
      <c r="O37" s="49">
        <v>1.2</v>
      </c>
      <c r="P37" s="49">
        <v>1.9</v>
      </c>
      <c r="Q37" s="49" t="s">
        <v>61</v>
      </c>
      <c r="R37" s="49" t="s">
        <v>272</v>
      </c>
      <c r="S37" s="25">
        <v>19.27</v>
      </c>
      <c r="T37" s="26">
        <f>(J37+K37+L37)+IF((VLOOKUP(Q37,MogulsDD!$A$1:$C$1000,3,FALSE)*(M37+O37)/2)&gt;3.75,3.75,VLOOKUP(Q37,MogulsDD!$A$1:$C$1000,3,FALSE)*(M37+O37)/2)+IF((VLOOKUP(R37,MogulsDD!$A$1:$C$1000,3,FALSE)*(N37+P37)/2)&gt;3.75,3.75,VLOOKUP(R37,MogulsDD!$A$1:$C$1000,3,FALSE)*(N37+P37)/2)+IF((18-12*S37/$J$5)&gt;7.5,7.5,IF((18-12*S37/$J$5)&lt;0,0,(18-12*S37/$J$5)))</f>
        <v>19.428929994308479</v>
      </c>
      <c r="U37" s="38"/>
      <c r="V37" s="38"/>
      <c r="W37" s="38"/>
      <c r="X37" s="38"/>
      <c r="Y37" s="39"/>
      <c r="Z37" s="38"/>
      <c r="AA37" s="38"/>
      <c r="AB37" s="38"/>
      <c r="AC37" s="38"/>
      <c r="AD37" s="39"/>
      <c r="AE37" s="38"/>
      <c r="AF37" s="38"/>
      <c r="AG37" s="38"/>
      <c r="AH37" s="38"/>
      <c r="AI37" s="39"/>
      <c r="AJ37" s="44"/>
      <c r="AK37" s="39"/>
      <c r="AL37" s="37"/>
      <c r="AM37" s="37"/>
    </row>
    <row r="38" spans="1:39">
      <c r="A38" s="19">
        <f t="shared" si="1"/>
        <v>10</v>
      </c>
      <c r="B38" s="32">
        <v>3</v>
      </c>
      <c r="C38" s="22">
        <v>6</v>
      </c>
      <c r="D38" s="22" t="s">
        <v>156</v>
      </c>
      <c r="E38" s="22">
        <v>2532116</v>
      </c>
      <c r="F38" s="22" t="s">
        <v>157</v>
      </c>
      <c r="G38" s="22" t="s">
        <v>122</v>
      </c>
      <c r="H38" s="22" t="s">
        <v>158</v>
      </c>
      <c r="I38" s="23" t="s">
        <v>128</v>
      </c>
      <c r="J38" s="27">
        <v>3.6</v>
      </c>
      <c r="K38" s="28">
        <v>4</v>
      </c>
      <c r="L38" s="28">
        <v>4.0999999999999996</v>
      </c>
      <c r="M38" s="52">
        <v>1.8</v>
      </c>
      <c r="N38" s="52">
        <v>1.6</v>
      </c>
      <c r="O38" s="49">
        <v>1.6</v>
      </c>
      <c r="P38" s="49">
        <v>1.6</v>
      </c>
      <c r="Q38" s="49" t="s">
        <v>287</v>
      </c>
      <c r="R38" s="49" t="s">
        <v>273</v>
      </c>
      <c r="S38" s="25">
        <v>19.829999999999998</v>
      </c>
      <c r="T38" s="26">
        <f>(J38+K38+L38)+IF((VLOOKUP(Q38,MogulsDD!$A$1:$C$1000,3,FALSE)*(M38+O38)/2)&gt;3.75,3.75,VLOOKUP(Q38,MogulsDD!$A$1:$C$1000,3,FALSE)*(M38+O38)/2)+IF((VLOOKUP(R38,MogulsDD!$A$1:$C$1000,3,FALSE)*(N38+P38)/2)&gt;3.75,3.75,VLOOKUP(R38,MogulsDD!$A$1:$C$1000,3,FALSE)*(N38+P38)/2)+IF((18-12*S38/$J$5)&gt;7.5,7.5,IF((18-12*S38/$J$5)&lt;0,0,(18-12*S38/$J$5)))</f>
        <v>18.767459874786567</v>
      </c>
      <c r="U38" s="38"/>
      <c r="V38" s="38"/>
      <c r="W38" s="38"/>
      <c r="X38" s="38"/>
      <c r="Y38" s="39"/>
      <c r="Z38" s="38"/>
      <c r="AA38" s="38"/>
      <c r="AB38" s="38"/>
      <c r="AC38" s="38"/>
      <c r="AD38" s="39"/>
      <c r="AE38" s="38"/>
      <c r="AF38" s="38"/>
      <c r="AG38" s="38"/>
      <c r="AH38" s="38"/>
      <c r="AI38" s="39"/>
      <c r="AJ38" s="44"/>
      <c r="AK38" s="39"/>
      <c r="AL38" s="37"/>
      <c r="AM38" s="37"/>
    </row>
    <row r="39" spans="1:39">
      <c r="A39" s="19">
        <f t="shared" si="1"/>
        <v>11</v>
      </c>
      <c r="B39" s="32">
        <v>81</v>
      </c>
      <c r="C39" s="22">
        <v>5</v>
      </c>
      <c r="D39" s="22" t="s">
        <v>205</v>
      </c>
      <c r="E39" s="22">
        <v>2530651</v>
      </c>
      <c r="F39" s="22" t="s">
        <v>206</v>
      </c>
      <c r="G39" s="22" t="s">
        <v>207</v>
      </c>
      <c r="H39" s="22" t="s">
        <v>243</v>
      </c>
      <c r="I39" s="23" t="s">
        <v>126</v>
      </c>
      <c r="J39" s="27">
        <v>3.3</v>
      </c>
      <c r="K39" s="28">
        <v>3.6</v>
      </c>
      <c r="L39" s="28">
        <v>3.1</v>
      </c>
      <c r="M39" s="52">
        <v>2.4</v>
      </c>
      <c r="N39" s="52">
        <v>1</v>
      </c>
      <c r="O39" s="49">
        <v>2.5</v>
      </c>
      <c r="P39" s="49">
        <v>0.6</v>
      </c>
      <c r="Q39" s="49" t="s">
        <v>284</v>
      </c>
      <c r="R39" s="49" t="s">
        <v>286</v>
      </c>
      <c r="S39" s="25">
        <v>19.29</v>
      </c>
      <c r="T39" s="26">
        <f>(J39+K39+L39)+IF((VLOOKUP(Q39,MogulsDD!$A$1:$C$1000,3,FALSE)*(M39+O39)/2)&gt;3.75,3.75,VLOOKUP(Q39,MogulsDD!$A$1:$C$1000,3,FALSE)*(M39+O39)/2)+IF((VLOOKUP(R39,MogulsDD!$A$1:$C$1000,3,FALSE)*(N39+P39)/2)&gt;3.75,3.75,VLOOKUP(R39,MogulsDD!$A$1:$C$1000,3,FALSE)*(N39+P39)/2)+IF((18-12*S39/$J$5)&gt;7.5,7.5,IF((18-12*S39/$J$5)&lt;0,0,(18-12*S39/$J$5)))</f>
        <v>18.2697703471827</v>
      </c>
      <c r="U39" s="38"/>
      <c r="V39" s="38"/>
      <c r="W39" s="38"/>
      <c r="X39" s="38"/>
      <c r="Y39" s="39"/>
      <c r="Z39" s="38"/>
      <c r="AA39" s="38"/>
      <c r="AB39" s="38"/>
      <c r="AC39" s="38"/>
      <c r="AD39" s="39"/>
      <c r="AE39" s="38"/>
      <c r="AF39" s="38"/>
      <c r="AG39" s="38"/>
      <c r="AH39" s="38"/>
      <c r="AI39" s="39"/>
      <c r="AJ39" s="44"/>
      <c r="AK39" s="39"/>
      <c r="AL39" s="37"/>
      <c r="AM39" s="37"/>
    </row>
    <row r="40" spans="1:39" ht="13.8" thickBot="1">
      <c r="A40" s="19">
        <f t="shared" si="1"/>
        <v>12</v>
      </c>
      <c r="B40" s="13">
        <v>104</v>
      </c>
      <c r="C40" s="22">
        <v>17</v>
      </c>
      <c r="D40" s="14" t="s">
        <v>112</v>
      </c>
      <c r="E40" s="22">
        <v>2530279</v>
      </c>
      <c r="F40" s="14" t="s">
        <v>113</v>
      </c>
      <c r="G40" s="14" t="s">
        <v>122</v>
      </c>
      <c r="H40" s="14" t="s">
        <v>114</v>
      </c>
      <c r="I40" s="18" t="s">
        <v>115</v>
      </c>
      <c r="J40" s="29">
        <v>0.1</v>
      </c>
      <c r="K40" s="30">
        <v>0.1</v>
      </c>
      <c r="L40" s="30">
        <v>0.1</v>
      </c>
      <c r="M40" s="53">
        <v>0.1</v>
      </c>
      <c r="N40" s="53">
        <v>0.1</v>
      </c>
      <c r="O40" s="50">
        <v>0.1</v>
      </c>
      <c r="P40" s="50">
        <v>0.1</v>
      </c>
      <c r="Q40" s="49" t="s">
        <v>61</v>
      </c>
      <c r="R40" s="49" t="s">
        <v>286</v>
      </c>
      <c r="S40" s="25">
        <v>29.4</v>
      </c>
      <c r="T40" s="26">
        <f>(J40+K40+L40)+IF((VLOOKUP(Q40,MogulsDD!$A$1:$C$1000,3,FALSE)*(M40+O40)/2)&gt;3.75,3.75,VLOOKUP(Q40,MogulsDD!$A$1:$C$1000,3,FALSE)*(M40+O40)/2)+IF((VLOOKUP(R40,MogulsDD!$A$1:$C$1000,3,FALSE)*(N40+P40)/2)&gt;3.75,3.75,VLOOKUP(R40,MogulsDD!$A$1:$C$1000,3,FALSE)*(N40+P40)/2)+IF((18-12*S40/$J$5)&gt;7.5,7.5,IF((18-12*S40/$J$5)&lt;0,0,(18-12*S40/$J$5)))</f>
        <v>0.51400000000000001</v>
      </c>
      <c r="U40" s="38"/>
      <c r="V40" s="38"/>
      <c r="W40" s="38"/>
      <c r="X40" s="38"/>
      <c r="Y40" s="39"/>
      <c r="Z40" s="38"/>
      <c r="AA40" s="38"/>
      <c r="AB40" s="38"/>
      <c r="AC40" s="38"/>
      <c r="AD40" s="39"/>
      <c r="AE40" s="38"/>
      <c r="AF40" s="38"/>
      <c r="AG40" s="38"/>
      <c r="AH40" s="38"/>
      <c r="AI40" s="39"/>
      <c r="AJ40" s="44"/>
      <c r="AK40" s="39"/>
      <c r="AL40" s="37"/>
      <c r="AM40" s="37"/>
    </row>
    <row r="41" spans="1:39">
      <c r="A41" s="19">
        <f t="shared" si="1"/>
        <v>13</v>
      </c>
      <c r="B41" s="15"/>
      <c r="C41" s="22"/>
      <c r="D41" s="16"/>
      <c r="E41" s="22"/>
      <c r="F41" s="16"/>
      <c r="G41" s="16"/>
      <c r="H41" s="16"/>
      <c r="I41" s="17"/>
      <c r="J41" s="34"/>
      <c r="K41" s="33"/>
      <c r="L41" s="33"/>
      <c r="M41" s="55"/>
      <c r="N41" s="55"/>
      <c r="O41" s="56"/>
      <c r="P41" s="56"/>
      <c r="Q41" s="49" t="s">
        <v>63</v>
      </c>
      <c r="R41" s="49" t="s">
        <v>63</v>
      </c>
      <c r="S41" s="25">
        <v>9999</v>
      </c>
      <c r="T41" s="26">
        <f>(J41+K41+L41)+IF((VLOOKUP(Q41,MogulsDD!$A$1:$C$1000,3,FALSE)*(M41+O41)/2)&gt;3.75,3.75,VLOOKUP(Q41,MogulsDD!$A$1:$C$1000,3,FALSE)*(M41+O41)/2)+IF((VLOOKUP(R41,MogulsDD!$A$1:$C$1000,3,FALSE)*(N41+P41)/2)&gt;3.75,3.75,VLOOKUP(R41,MogulsDD!$A$1:$C$1000,3,FALSE)*(N41+P41)/2)+IF((18-12*S41/$J$5)&gt;7.5,7.5,IF((18-12*S41/$J$5)&lt;0,0,(18-12*S41/$J$5)))</f>
        <v>0</v>
      </c>
      <c r="U41" s="38"/>
      <c r="V41" s="38"/>
      <c r="W41" s="38"/>
      <c r="X41" s="38"/>
      <c r="Y41" s="39"/>
      <c r="Z41" s="38"/>
      <c r="AA41" s="38"/>
      <c r="AB41" s="38"/>
      <c r="AC41" s="38"/>
      <c r="AD41" s="39"/>
      <c r="AE41" s="38"/>
      <c r="AF41" s="38"/>
      <c r="AG41" s="38"/>
      <c r="AH41" s="38"/>
      <c r="AI41" s="39"/>
      <c r="AJ41" s="44"/>
      <c r="AK41" s="39"/>
      <c r="AL41" s="37"/>
      <c r="AM41" s="37"/>
    </row>
    <row r="42" spans="1:39"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7"/>
      <c r="AM42" s="37"/>
    </row>
    <row r="43" spans="1:39"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7"/>
      <c r="AM43" s="37"/>
    </row>
    <row r="44" spans="1:39"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7"/>
      <c r="AM44" s="37"/>
    </row>
    <row r="45" spans="1:39"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7"/>
      <c r="AM45" s="37"/>
    </row>
    <row r="46" spans="1:39"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7"/>
      <c r="AM46" s="37"/>
    </row>
    <row r="47" spans="1:39"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7"/>
      <c r="AM47" s="37"/>
    </row>
    <row r="48" spans="1:39"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7"/>
      <c r="AM48" s="37"/>
    </row>
    <row r="49" spans="21:39"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7"/>
      <c r="AM49" s="37"/>
    </row>
    <row r="50" spans="21:39"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7"/>
      <c r="AM50" s="37"/>
    </row>
    <row r="51" spans="21:39"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7"/>
      <c r="AM51" s="37"/>
    </row>
    <row r="52" spans="21:39"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7"/>
      <c r="AM52" s="37"/>
    </row>
    <row r="53" spans="21:39"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7"/>
      <c r="AM53" s="37"/>
    </row>
    <row r="54" spans="21:39"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7"/>
      <c r="AM54" s="37"/>
    </row>
    <row r="55" spans="21:39"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7"/>
      <c r="AM55" s="37"/>
    </row>
    <row r="56" spans="21:39"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7"/>
      <c r="AM56" s="37"/>
    </row>
    <row r="57" spans="21:39"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7"/>
      <c r="AM57" s="37"/>
    </row>
    <row r="58" spans="21:39"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7"/>
      <c r="AM58" s="37"/>
    </row>
    <row r="59" spans="21:39"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7"/>
      <c r="AM59" s="37"/>
    </row>
    <row r="60" spans="21:39"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7"/>
      <c r="AM60" s="37"/>
    </row>
    <row r="61" spans="21:39"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</row>
    <row r="62" spans="21:39"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</row>
    <row r="63" spans="21:39"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</row>
    <row r="64" spans="21:39"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</row>
    <row r="65" spans="21:39"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</row>
    <row r="66" spans="21:39"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</row>
    <row r="67" spans="21:39"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</row>
    <row r="68" spans="21:39"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</row>
    <row r="69" spans="21:39"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</row>
    <row r="70" spans="21:39"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</row>
    <row r="71" spans="21:39"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</row>
    <row r="72" spans="21:39"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</row>
    <row r="73" spans="21:39"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</row>
    <row r="74" spans="21:39"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</row>
    <row r="75" spans="21:39"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</row>
    <row r="76" spans="21:39"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</row>
    <row r="77" spans="21:39"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</row>
    <row r="78" spans="21:39"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</row>
    <row r="79" spans="21:39"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</row>
    <row r="80" spans="21:39"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</row>
    <row r="81" spans="21:39"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</row>
    <row r="82" spans="21:39"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</row>
  </sheetData>
  <sortState ref="B29:T40">
    <sortCondition descending="1" ref="T29:T40"/>
  </sortState>
  <mergeCells count="12">
    <mergeCell ref="A7:B7"/>
    <mergeCell ref="C7:F7"/>
    <mergeCell ref="A8:B8"/>
    <mergeCell ref="C8:F8"/>
    <mergeCell ref="A9:B9"/>
    <mergeCell ref="C9:F9"/>
    <mergeCell ref="A1:I1"/>
    <mergeCell ref="A2:I2"/>
    <mergeCell ref="A5:B5"/>
    <mergeCell ref="C5:F5"/>
    <mergeCell ref="A6:B6"/>
    <mergeCell ref="C6:F6"/>
  </mergeCells>
  <hyperlinks>
    <hyperlink ref="J2" r:id="rId1" display="http://data.fis-ski.com/dynamic/event-details.html?event_id=36203&amp;cal_suchsector=FS"/>
    <hyperlink ref="L2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P94"/>
  <sheetViews>
    <sheetView workbookViewId="0">
      <selection sqref="A1:XFD1048576"/>
    </sheetView>
  </sheetViews>
  <sheetFormatPr defaultColWidth="11.44140625" defaultRowHeight="13.2"/>
  <cols>
    <col min="1" max="2" width="8.109375" customWidth="1"/>
    <col min="3" max="3" width="7.44140625" customWidth="1"/>
    <col min="4" max="4" width="22" customWidth="1"/>
    <col min="5" max="5" width="8.44140625" customWidth="1"/>
    <col min="6" max="6" width="11.109375" customWidth="1"/>
    <col min="8" max="8" width="16.6640625" bestFit="1" customWidth="1"/>
    <col min="9" max="9" width="16.5546875" bestFit="1" customWidth="1"/>
    <col min="23" max="23" width="7.33203125" customWidth="1"/>
  </cols>
  <sheetData>
    <row r="1" spans="1:42" ht="24.6">
      <c r="A1" s="159"/>
      <c r="B1" s="159"/>
      <c r="C1" s="159"/>
      <c r="D1" s="159"/>
      <c r="E1" s="159"/>
      <c r="F1" s="159"/>
      <c r="G1" s="159"/>
      <c r="H1" s="159"/>
      <c r="I1" s="15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2" ht="17.399999999999999">
      <c r="A2" s="160" t="s">
        <v>227</v>
      </c>
      <c r="B2" s="160"/>
      <c r="C2" s="160"/>
      <c r="D2" s="160"/>
      <c r="E2" s="160"/>
      <c r="F2" s="160"/>
      <c r="G2" s="160"/>
      <c r="H2" s="160"/>
      <c r="I2" s="160"/>
      <c r="J2" s="95" t="s">
        <v>198</v>
      </c>
      <c r="K2" s="1"/>
      <c r="L2" s="95" t="s">
        <v>197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42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42" ht="13.8" thickBot="1">
      <c r="A4" s="7"/>
      <c r="B4" s="1"/>
      <c r="C4" s="1"/>
      <c r="D4" s="1"/>
      <c r="E4" s="1"/>
      <c r="F4" s="1"/>
      <c r="G4" s="1"/>
      <c r="H4" s="1"/>
      <c r="I4" s="1"/>
      <c r="J4" s="1" t="s">
        <v>152</v>
      </c>
      <c r="K4" s="1" t="s">
        <v>151</v>
      </c>
      <c r="L4" s="1"/>
      <c r="M4" s="1" t="s">
        <v>11</v>
      </c>
      <c r="N4" s="1" t="s">
        <v>219</v>
      </c>
      <c r="O4" s="1"/>
      <c r="P4" s="1" t="s">
        <v>216</v>
      </c>
      <c r="Q4" s="1" t="s">
        <v>224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42">
      <c r="A5" s="161" t="s">
        <v>6</v>
      </c>
      <c r="B5" s="162"/>
      <c r="C5" s="163" t="s">
        <v>218</v>
      </c>
      <c r="D5" s="164"/>
      <c r="E5" s="164"/>
      <c r="F5" s="165"/>
      <c r="G5" s="1"/>
      <c r="H5" s="1"/>
      <c r="I5" s="36" t="s">
        <v>69</v>
      </c>
      <c r="J5" s="1">
        <v>17.57</v>
      </c>
      <c r="K5" s="1">
        <v>20.71</v>
      </c>
      <c r="L5" s="1"/>
      <c r="M5" s="1" t="s">
        <v>12</v>
      </c>
      <c r="N5" s="1" t="s">
        <v>220</v>
      </c>
      <c r="O5" s="1"/>
      <c r="P5" s="1" t="s">
        <v>217</v>
      </c>
      <c r="Q5" s="1" t="s">
        <v>222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42">
      <c r="A6" s="149" t="s">
        <v>7</v>
      </c>
      <c r="B6" s="150"/>
      <c r="C6" s="151" t="s">
        <v>230</v>
      </c>
      <c r="D6" s="152"/>
      <c r="E6" s="152"/>
      <c r="F6" s="153"/>
      <c r="G6" s="1"/>
      <c r="H6" s="1"/>
      <c r="I6" s="1"/>
      <c r="J6" s="1"/>
      <c r="K6" s="1"/>
      <c r="L6" s="1"/>
      <c r="M6" s="1" t="s">
        <v>15</v>
      </c>
      <c r="N6" s="1" t="s">
        <v>221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42">
      <c r="A7" s="149" t="s">
        <v>8</v>
      </c>
      <c r="B7" s="150"/>
      <c r="C7" s="151" t="s">
        <v>242</v>
      </c>
      <c r="D7" s="152"/>
      <c r="E7" s="152"/>
      <c r="F7" s="153"/>
      <c r="G7" s="1"/>
      <c r="H7" s="1"/>
      <c r="I7" s="101" t="s">
        <v>289</v>
      </c>
      <c r="J7" s="1"/>
      <c r="K7" s="1"/>
      <c r="L7" s="1"/>
      <c r="M7" s="1" t="s">
        <v>214</v>
      </c>
      <c r="N7" s="1" t="s">
        <v>222</v>
      </c>
      <c r="O7" s="1"/>
      <c r="P7" s="1" t="s">
        <v>225</v>
      </c>
      <c r="Q7" s="1" t="s">
        <v>226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42">
      <c r="A8" s="149" t="s">
        <v>9</v>
      </c>
      <c r="B8" s="150"/>
      <c r="C8" s="151" t="s">
        <v>104</v>
      </c>
      <c r="D8" s="152"/>
      <c r="E8" s="152"/>
      <c r="F8" s="153"/>
      <c r="G8" s="1"/>
      <c r="H8" s="1"/>
      <c r="I8" s="102" t="s">
        <v>290</v>
      </c>
      <c r="J8" s="1"/>
      <c r="K8" s="1"/>
      <c r="L8" s="1"/>
      <c r="M8" s="1" t="s">
        <v>215</v>
      </c>
      <c r="N8" s="1" t="s">
        <v>223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42" ht="13.8" thickBot="1">
      <c r="A9" s="154" t="s">
        <v>10</v>
      </c>
      <c r="B9" s="155"/>
      <c r="C9" s="156" t="s">
        <v>105</v>
      </c>
      <c r="D9" s="157"/>
      <c r="E9" s="157"/>
      <c r="F9" s="15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37"/>
      <c r="AO9" s="37"/>
      <c r="AP9" s="37"/>
    </row>
    <row r="10" spans="1:42" ht="13.8" thickBot="1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9"/>
      <c r="AO10" s="37"/>
      <c r="AP10" s="37"/>
    </row>
    <row r="11" spans="1:42" ht="13.8" thickBot="1">
      <c r="A11" s="8"/>
      <c r="B11" s="5"/>
      <c r="C11" s="5"/>
      <c r="D11" s="5"/>
      <c r="E11" s="20" t="s">
        <v>228</v>
      </c>
      <c r="F11" s="5"/>
      <c r="G11" s="5"/>
      <c r="H11" s="5"/>
      <c r="I11" s="6"/>
      <c r="J11" s="21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45"/>
      <c r="X11" s="38"/>
      <c r="Y11" s="38"/>
      <c r="Z11" s="38"/>
      <c r="AA11" s="38"/>
      <c r="AB11" s="38"/>
      <c r="AC11" s="38"/>
      <c r="AD11" s="38"/>
      <c r="AE11" s="38"/>
      <c r="AF11" s="38"/>
      <c r="AG11" s="40"/>
      <c r="AH11" s="38"/>
      <c r="AI11" s="38"/>
      <c r="AJ11" s="38"/>
      <c r="AK11" s="38"/>
      <c r="AL11" s="40"/>
      <c r="AM11" s="38"/>
      <c r="AN11" s="39"/>
      <c r="AO11" s="37"/>
      <c r="AP11" s="37"/>
    </row>
    <row r="12" spans="1:42" ht="13.8" thickBot="1">
      <c r="A12" s="2" t="s">
        <v>0</v>
      </c>
      <c r="B12" s="3" t="s">
        <v>1</v>
      </c>
      <c r="C12" s="3" t="s">
        <v>252</v>
      </c>
      <c r="D12" s="3" t="s">
        <v>111</v>
      </c>
      <c r="E12" s="3" t="s">
        <v>238</v>
      </c>
      <c r="F12" s="3" t="s">
        <v>16</v>
      </c>
      <c r="G12" s="3" t="s">
        <v>3</v>
      </c>
      <c r="H12" s="3" t="s">
        <v>4</v>
      </c>
      <c r="I12" s="4" t="s">
        <v>5</v>
      </c>
      <c r="J12" s="2" t="s">
        <v>11</v>
      </c>
      <c r="K12" s="3" t="s">
        <v>12</v>
      </c>
      <c r="L12" s="3" t="s">
        <v>13</v>
      </c>
      <c r="M12" s="3" t="s">
        <v>66</v>
      </c>
      <c r="N12" s="3" t="s">
        <v>65</v>
      </c>
      <c r="O12" s="3" t="s">
        <v>67</v>
      </c>
      <c r="P12" s="3" t="s">
        <v>68</v>
      </c>
      <c r="Q12" s="3" t="s">
        <v>59</v>
      </c>
      <c r="R12" s="3" t="s">
        <v>60</v>
      </c>
      <c r="S12" s="3" t="s">
        <v>22</v>
      </c>
      <c r="T12" s="3" t="s">
        <v>314</v>
      </c>
      <c r="U12" s="3" t="s">
        <v>315</v>
      </c>
      <c r="V12" s="3" t="s">
        <v>316</v>
      </c>
      <c r="W12" s="46" t="s">
        <v>14</v>
      </c>
      <c r="X12" s="41"/>
      <c r="Y12" s="41"/>
      <c r="Z12" s="41"/>
      <c r="AA12" s="41"/>
      <c r="AB12" s="42"/>
      <c r="AC12" s="41"/>
      <c r="AD12" s="41"/>
      <c r="AE12" s="41"/>
      <c r="AF12" s="41"/>
      <c r="AG12" s="42"/>
      <c r="AH12" s="41"/>
      <c r="AI12" s="41"/>
      <c r="AJ12" s="41"/>
      <c r="AK12" s="41"/>
      <c r="AL12" s="42"/>
      <c r="AM12" s="43"/>
      <c r="AN12" s="39"/>
      <c r="AO12" s="37"/>
      <c r="AP12" s="37"/>
    </row>
    <row r="13" spans="1:42">
      <c r="A13" s="19">
        <f>RANK(W13,$W$13:$W$18,0)</f>
        <v>1</v>
      </c>
      <c r="B13" s="22">
        <v>61</v>
      </c>
      <c r="C13" s="22">
        <v>7</v>
      </c>
      <c r="D13" s="22" t="s">
        <v>176</v>
      </c>
      <c r="E13" s="22">
        <v>2531087</v>
      </c>
      <c r="F13" s="22" t="s">
        <v>173</v>
      </c>
      <c r="G13" s="22" t="s">
        <v>239</v>
      </c>
      <c r="H13" s="22" t="s">
        <v>177</v>
      </c>
      <c r="I13" s="23" t="s">
        <v>178</v>
      </c>
      <c r="J13" s="24">
        <v>4</v>
      </c>
      <c r="K13" s="25">
        <v>4</v>
      </c>
      <c r="L13" s="25">
        <v>3.7</v>
      </c>
      <c r="M13" s="51">
        <v>1.4</v>
      </c>
      <c r="N13" s="51">
        <v>1.3</v>
      </c>
      <c r="O13" s="49">
        <v>1.7</v>
      </c>
      <c r="P13" s="49">
        <v>1.1000000000000001</v>
      </c>
      <c r="Q13" s="49" t="s">
        <v>275</v>
      </c>
      <c r="R13" s="49" t="s">
        <v>276</v>
      </c>
      <c r="S13" s="25">
        <v>19.82</v>
      </c>
      <c r="T13" s="143">
        <f t="shared" ref="T13:T26" si="0">(J13+K13+L13)</f>
        <v>11.7</v>
      </c>
      <c r="U13" s="143">
        <f>IF((VLOOKUP(Q13,MogulsDD!$A$1:$D$1000,4,FALSE)*(M13+O13)/2)&gt;3.75,3.75,VLOOKUP(Q13,MogulsDD!$A$1:$D$1000,4,FALSE)*(M13+O13)/2)+IF((VLOOKUP(R13,MogulsDD!$A$1:$D$1000,4,FALSE)*(N13+P13)/2)&gt;3.75,3.75,VLOOKUP(R13,MogulsDD!$A$1:$D$1000,4,FALSE)*(N13+P13)/2)</f>
        <v>2.8970000000000002</v>
      </c>
      <c r="V13" s="143">
        <f t="shared" ref="V13:V26" si="1">IF((18-12*S13/$K$5)&gt;7.5,7.5,IF((18-12*S13/$K$5)&lt;0,0,(18-12*S13/$K$5)))</f>
        <v>6.5156929019797207</v>
      </c>
      <c r="W13" s="144">
        <f>(J13+K13+L13)+IF((VLOOKUP(Q13,MogulsDD!$A$1:$D$1000,4,FALSE)*(M13+O13)/2)&gt;3.75,3.75,VLOOKUP(Q13,MogulsDD!$A$1:$D$1000,4,FALSE)*(M13+O13)/2)+IF((VLOOKUP(R13,MogulsDD!$A$1:$D$1000,4,FALSE)*(N13+P13)/2)&gt;3.75,3.75,VLOOKUP(R13,MogulsDD!$A$1:$D$1000,4,FALSE)*(N13+P13)/2)+IF((18-12*S13/$K$5)&gt;7.5,7.5,IF((18-12*S13/$K$5)&lt;0,0,(18-12*S13/$K$5)))</f>
        <v>21.11269290197972</v>
      </c>
      <c r="X13" s="38"/>
      <c r="Y13" s="38"/>
      <c r="Z13" s="38"/>
      <c r="AA13" s="38"/>
      <c r="AB13" s="39"/>
      <c r="AC13" s="38"/>
      <c r="AD13" s="38"/>
      <c r="AE13" s="38"/>
      <c r="AF13" s="38"/>
      <c r="AG13" s="39"/>
      <c r="AH13" s="38"/>
      <c r="AI13" s="38"/>
      <c r="AJ13" s="38"/>
      <c r="AK13" s="38"/>
      <c r="AL13" s="39"/>
      <c r="AM13" s="44"/>
      <c r="AN13" s="39"/>
      <c r="AO13" s="37"/>
      <c r="AP13" s="37"/>
    </row>
    <row r="14" spans="1:42">
      <c r="A14" s="19">
        <f t="shared" ref="A14:A18" si="2">RANK(W14,$W$13:$W$18,0)</f>
        <v>2</v>
      </c>
      <c r="B14" s="22">
        <v>134</v>
      </c>
      <c r="C14" s="22">
        <v>2</v>
      </c>
      <c r="D14" s="22" t="s">
        <v>236</v>
      </c>
      <c r="E14" s="22">
        <v>2528719</v>
      </c>
      <c r="F14" s="22"/>
      <c r="G14" s="22" t="s">
        <v>240</v>
      </c>
      <c r="H14" s="22" t="s">
        <v>251</v>
      </c>
      <c r="I14" s="23"/>
      <c r="J14" s="27">
        <v>3.7</v>
      </c>
      <c r="K14" s="28">
        <v>3.7</v>
      </c>
      <c r="L14" s="28">
        <v>3.9</v>
      </c>
      <c r="M14" s="52">
        <v>1.5</v>
      </c>
      <c r="N14" s="52">
        <v>1.5</v>
      </c>
      <c r="O14" s="49">
        <v>1.3</v>
      </c>
      <c r="P14" s="49">
        <v>1.6</v>
      </c>
      <c r="Q14" s="49" t="s">
        <v>276</v>
      </c>
      <c r="R14" s="49" t="s">
        <v>61</v>
      </c>
      <c r="S14" s="25">
        <v>21.6</v>
      </c>
      <c r="T14" s="143">
        <f t="shared" si="0"/>
        <v>11.3</v>
      </c>
      <c r="U14" s="143">
        <f>IF((VLOOKUP(Q14,MogulsDD!$A$1:$D$1000,4,FALSE)*(M14+O14)/2)&gt;3.75,3.75,VLOOKUP(Q14,MogulsDD!$A$1:$D$1000,4,FALSE)*(M14+O14)/2)+IF((VLOOKUP(R14,MogulsDD!$A$1:$D$1000,4,FALSE)*(N14+P14)/2)&gt;3.75,3.75,VLOOKUP(R14,MogulsDD!$A$1:$D$1000,4,FALSE)*(N14+P14)/2)</f>
        <v>3.54</v>
      </c>
      <c r="V14" s="143">
        <f t="shared" si="1"/>
        <v>5.4843070980202775</v>
      </c>
      <c r="W14" s="144">
        <f>(J14+K14+L14)+IF((VLOOKUP(Q14,MogulsDD!$A$1:$D$1000,4,FALSE)*(M14+O14)/2)&gt;3.75,3.75,VLOOKUP(Q14,MogulsDD!$A$1:$D$1000,4,FALSE)*(M14+O14)/2)+IF((VLOOKUP(R14,MogulsDD!$A$1:$D$1000,4,FALSE)*(N14+P14)/2)&gt;3.75,3.75,VLOOKUP(R14,MogulsDD!$A$1:$D$1000,4,FALSE)*(N14+P14)/2)+IF((18-12*S14/$K$5)&gt;7.5,7.5,IF((18-12*S14/$K$5)&lt;0,0,(18-12*S14/$K$5)))</f>
        <v>20.324307098020277</v>
      </c>
      <c r="X14" s="38"/>
      <c r="Y14" s="38"/>
      <c r="Z14" s="38"/>
      <c r="AA14" s="38"/>
      <c r="AB14" s="39"/>
      <c r="AC14" s="38"/>
      <c r="AD14" s="38"/>
      <c r="AE14" s="38"/>
      <c r="AF14" s="38"/>
      <c r="AG14" s="39"/>
      <c r="AH14" s="38"/>
      <c r="AI14" s="38"/>
      <c r="AJ14" s="38"/>
      <c r="AK14" s="38"/>
      <c r="AL14" s="39"/>
      <c r="AM14" s="44"/>
      <c r="AN14" s="39"/>
      <c r="AO14" s="37"/>
      <c r="AP14" s="37"/>
    </row>
    <row r="15" spans="1:42">
      <c r="A15" s="19">
        <f t="shared" si="2"/>
        <v>3</v>
      </c>
      <c r="B15" s="22">
        <v>38</v>
      </c>
      <c r="C15" s="22">
        <v>3</v>
      </c>
      <c r="D15" s="22" t="s">
        <v>179</v>
      </c>
      <c r="E15" s="22">
        <v>2530095</v>
      </c>
      <c r="F15" s="22" t="s">
        <v>173</v>
      </c>
      <c r="G15" s="22" t="s">
        <v>239</v>
      </c>
      <c r="H15" s="22" t="s">
        <v>180</v>
      </c>
      <c r="I15" s="23" t="s">
        <v>181</v>
      </c>
      <c r="J15" s="27">
        <v>3.8</v>
      </c>
      <c r="K15" s="28">
        <v>3.5</v>
      </c>
      <c r="L15" s="28">
        <v>3.4</v>
      </c>
      <c r="M15" s="52">
        <v>1.7</v>
      </c>
      <c r="N15" s="52">
        <v>1.6</v>
      </c>
      <c r="O15" s="49">
        <v>1.3</v>
      </c>
      <c r="P15" s="49">
        <v>1.9</v>
      </c>
      <c r="Q15" s="49" t="s">
        <v>275</v>
      </c>
      <c r="R15" s="49" t="s">
        <v>279</v>
      </c>
      <c r="S15" s="25">
        <v>20.51</v>
      </c>
      <c r="T15" s="143">
        <f t="shared" si="0"/>
        <v>10.7</v>
      </c>
      <c r="U15" s="143">
        <f>IF((VLOOKUP(Q15,MogulsDD!$A$1:$D$1000,4,FALSE)*(M15+O15)/2)&gt;3.75,3.75,VLOOKUP(Q15,MogulsDD!$A$1:$D$1000,4,FALSE)*(M15+O15)/2)+IF((VLOOKUP(R15,MogulsDD!$A$1:$D$1000,4,FALSE)*(N15+P15)/2)&gt;3.75,3.75,VLOOKUP(R15,MogulsDD!$A$1:$D$1000,4,FALSE)*(N15+P15)/2)</f>
        <v>2.74</v>
      </c>
      <c r="V15" s="143">
        <f t="shared" si="1"/>
        <v>6.1158860453887005</v>
      </c>
      <c r="W15" s="144">
        <f>(J15+K15+L15)+IF((VLOOKUP(Q15,MogulsDD!$A$1:$D$1000,4,FALSE)*(M15+O15)/2)&gt;3.75,3.75,VLOOKUP(Q15,MogulsDD!$A$1:$D$1000,4,FALSE)*(M15+O15)/2)+IF((VLOOKUP(R15,MogulsDD!$A$1:$D$1000,4,FALSE)*(N15+P15)/2)&gt;3.75,3.75,VLOOKUP(R15,MogulsDD!$A$1:$D$1000,4,FALSE)*(N15+P15)/2)+IF((18-12*S15/$K$5)&gt;7.5,7.5,IF((18-12*S15/$K$5)&lt;0,0,(18-12*S15/$K$5)))</f>
        <v>19.5558860453887</v>
      </c>
      <c r="X15" s="38"/>
      <c r="Y15" s="38"/>
      <c r="Z15" s="38"/>
      <c r="AA15" s="38"/>
      <c r="AB15" s="39"/>
      <c r="AC15" s="38"/>
      <c r="AD15" s="38"/>
      <c r="AE15" s="38"/>
      <c r="AF15" s="38"/>
      <c r="AG15" s="39"/>
      <c r="AH15" s="38"/>
      <c r="AI15" s="38"/>
      <c r="AJ15" s="38"/>
      <c r="AK15" s="38"/>
      <c r="AL15" s="39"/>
      <c r="AM15" s="44"/>
      <c r="AN15" s="39"/>
      <c r="AO15" s="37"/>
      <c r="AP15" s="37"/>
    </row>
    <row r="16" spans="1:42">
      <c r="A16" s="19">
        <f t="shared" si="2"/>
        <v>4</v>
      </c>
      <c r="B16" s="22">
        <v>113</v>
      </c>
      <c r="C16" s="22">
        <v>9</v>
      </c>
      <c r="D16" s="22" t="s">
        <v>235</v>
      </c>
      <c r="E16" s="22"/>
      <c r="F16" s="22"/>
      <c r="G16" s="22" t="s">
        <v>240</v>
      </c>
      <c r="H16" s="99" t="s">
        <v>250</v>
      </c>
      <c r="I16" s="23"/>
      <c r="J16" s="27">
        <v>3.2</v>
      </c>
      <c r="K16" s="28">
        <v>3.2</v>
      </c>
      <c r="L16" s="28">
        <v>3.3</v>
      </c>
      <c r="M16" s="52">
        <v>1.8</v>
      </c>
      <c r="N16" s="52">
        <v>1.8</v>
      </c>
      <c r="O16" s="49">
        <v>2</v>
      </c>
      <c r="P16" s="49">
        <v>1.6</v>
      </c>
      <c r="Q16" s="49" t="s">
        <v>274</v>
      </c>
      <c r="R16" s="49" t="s">
        <v>276</v>
      </c>
      <c r="S16" s="25">
        <v>20.9</v>
      </c>
      <c r="T16" s="143">
        <f t="shared" si="0"/>
        <v>9.6999999999999993</v>
      </c>
      <c r="U16" s="143">
        <f>IF((VLOOKUP(Q16,MogulsDD!$A$1:$D$1000,4,FALSE)*(M16+O16)/2)&gt;3.75,3.75,VLOOKUP(Q16,MogulsDD!$A$1:$D$1000,4,FALSE)*(M16+O16)/2)+IF((VLOOKUP(R16,MogulsDD!$A$1:$D$1000,4,FALSE)*(N16+P16)/2)&gt;3.75,3.75,VLOOKUP(R16,MogulsDD!$A$1:$D$1000,4,FALSE)*(N16+P16)/2)</f>
        <v>3.5030000000000001</v>
      </c>
      <c r="V16" s="143">
        <f t="shared" si="1"/>
        <v>5.8899082568807355</v>
      </c>
      <c r="W16" s="144">
        <f>(J16+K16+L16)+IF((VLOOKUP(Q16,MogulsDD!$A$1:$D$1000,4,FALSE)*(M16+O16)/2)&gt;3.75,3.75,VLOOKUP(Q16,MogulsDD!$A$1:$D$1000,4,FALSE)*(M16+O16)/2)+IF((VLOOKUP(R16,MogulsDD!$A$1:$D$1000,4,FALSE)*(N16+P16)/2)&gt;3.75,3.75,VLOOKUP(R16,MogulsDD!$A$1:$D$1000,4,FALSE)*(N16+P16)/2)+IF((18-12*S16/$K$5)&gt;7.5,7.5,IF((18-12*S16/$K$5)&lt;0,0,(18-12*S16/$K$5)))</f>
        <v>19.092908256880733</v>
      </c>
      <c r="X16" s="38"/>
      <c r="Y16" s="38"/>
      <c r="Z16" s="38"/>
      <c r="AA16" s="38"/>
      <c r="AB16" s="39"/>
      <c r="AC16" s="38"/>
      <c r="AD16" s="38"/>
      <c r="AE16" s="38"/>
      <c r="AF16" s="38"/>
      <c r="AG16" s="39"/>
      <c r="AH16" s="38"/>
      <c r="AI16" s="38"/>
      <c r="AJ16" s="38"/>
      <c r="AK16" s="38"/>
      <c r="AL16" s="39"/>
      <c r="AM16" s="44"/>
      <c r="AN16" s="39"/>
      <c r="AO16" s="37"/>
      <c r="AP16" s="37"/>
    </row>
    <row r="17" spans="1:42">
      <c r="A17" s="19">
        <f t="shared" si="2"/>
        <v>5</v>
      </c>
      <c r="B17" s="22">
        <v>21</v>
      </c>
      <c r="C17" s="22">
        <v>11</v>
      </c>
      <c r="D17" s="22" t="s">
        <v>182</v>
      </c>
      <c r="E17" s="22">
        <v>2530097</v>
      </c>
      <c r="F17" s="22" t="s">
        <v>173</v>
      </c>
      <c r="G17" s="22" t="s">
        <v>239</v>
      </c>
      <c r="H17" s="22" t="s">
        <v>183</v>
      </c>
      <c r="I17" s="23" t="s">
        <v>115</v>
      </c>
      <c r="J17" s="27">
        <v>3.2</v>
      </c>
      <c r="K17" s="28">
        <v>3.3</v>
      </c>
      <c r="L17" s="28">
        <v>3.1</v>
      </c>
      <c r="M17" s="52">
        <v>1.6</v>
      </c>
      <c r="N17" s="52">
        <v>1.5</v>
      </c>
      <c r="O17" s="49">
        <v>1.4</v>
      </c>
      <c r="P17" s="49">
        <v>1.2</v>
      </c>
      <c r="Q17" s="49" t="s">
        <v>61</v>
      </c>
      <c r="R17" s="49" t="s">
        <v>275</v>
      </c>
      <c r="S17" s="25">
        <v>21.86</v>
      </c>
      <c r="T17" s="143">
        <f t="shared" si="0"/>
        <v>9.6</v>
      </c>
      <c r="U17" s="143">
        <f>IF((VLOOKUP(Q17,MogulsDD!$A$1:$D$1000,4,FALSE)*(M17+O17)/2)&gt;3.75,3.75,VLOOKUP(Q17,MogulsDD!$A$1:$D$1000,4,FALSE)*(M17+O17)/2)+IF((VLOOKUP(R17,MogulsDD!$A$1:$D$1000,4,FALSE)*(N17+P17)/2)&gt;3.75,3.75,VLOOKUP(R17,MogulsDD!$A$1:$D$1000,4,FALSE)*(N17+P17)/2)</f>
        <v>3.069</v>
      </c>
      <c r="V17" s="143">
        <f t="shared" si="1"/>
        <v>5.3336552390149699</v>
      </c>
      <c r="W17" s="144">
        <f>(J17+K17+L17)+IF((VLOOKUP(Q17,MogulsDD!$A$1:$D$1000,4,FALSE)*(M17+O17)/2)&gt;3.75,3.75,VLOOKUP(Q17,MogulsDD!$A$1:$D$1000,4,FALSE)*(M17+O17)/2)+IF((VLOOKUP(R17,MogulsDD!$A$1:$D$1000,4,FALSE)*(N17+P17)/2)&gt;3.75,3.75,VLOOKUP(R17,MogulsDD!$A$1:$D$1000,4,FALSE)*(N17+P17)/2)+IF((18-12*S17/$K$5)&gt;7.5,7.5,IF((18-12*S17/$K$5)&lt;0,0,(18-12*S17/$K$5)))</f>
        <v>18.00265523901497</v>
      </c>
      <c r="X17" s="38"/>
      <c r="Y17" s="38"/>
      <c r="Z17" s="38"/>
      <c r="AA17" s="38"/>
      <c r="AB17" s="39"/>
      <c r="AC17" s="38"/>
      <c r="AD17" s="38"/>
      <c r="AE17" s="38"/>
      <c r="AF17" s="38"/>
      <c r="AG17" s="39"/>
      <c r="AH17" s="38"/>
      <c r="AI17" s="38"/>
      <c r="AJ17" s="38"/>
      <c r="AK17" s="38"/>
      <c r="AL17" s="39"/>
      <c r="AM17" s="44"/>
      <c r="AN17" s="39"/>
      <c r="AO17" s="37"/>
      <c r="AP17" s="37"/>
    </row>
    <row r="18" spans="1:42" ht="13.8" thickBot="1">
      <c r="A18" s="19">
        <f t="shared" si="2"/>
        <v>6</v>
      </c>
      <c r="B18" s="14">
        <v>99</v>
      </c>
      <c r="C18" s="14">
        <v>1</v>
      </c>
      <c r="D18" s="14" t="s">
        <v>184</v>
      </c>
      <c r="E18" s="22"/>
      <c r="F18" s="14" t="s">
        <v>185</v>
      </c>
      <c r="G18" s="14" t="s">
        <v>122</v>
      </c>
      <c r="H18" s="14" t="s">
        <v>186</v>
      </c>
      <c r="I18" s="18" t="s">
        <v>187</v>
      </c>
      <c r="J18" s="29">
        <v>3.1</v>
      </c>
      <c r="K18" s="30">
        <v>3.2</v>
      </c>
      <c r="L18" s="30">
        <v>3</v>
      </c>
      <c r="M18" s="53">
        <v>0</v>
      </c>
      <c r="N18" s="53">
        <v>2</v>
      </c>
      <c r="O18" s="50">
        <v>0</v>
      </c>
      <c r="P18" s="50">
        <v>1.6</v>
      </c>
      <c r="Q18" s="54" t="s">
        <v>280</v>
      </c>
      <c r="R18" s="54" t="s">
        <v>279</v>
      </c>
      <c r="S18" s="25">
        <v>19.149999999999999</v>
      </c>
      <c r="T18" s="143">
        <f t="shared" si="0"/>
        <v>9.3000000000000007</v>
      </c>
      <c r="U18" s="143">
        <f>IF((VLOOKUP(Q18,MogulsDD!$A$1:$D$1000,4,FALSE)*(M18+O18)/2)&gt;3.75,3.75,VLOOKUP(Q18,MogulsDD!$A$1:$D$1000,4,FALSE)*(M18+O18)/2)+IF((VLOOKUP(R18,MogulsDD!$A$1:$D$1000,4,FALSE)*(N18+P18)/2)&gt;3.75,3.75,VLOOKUP(R18,MogulsDD!$A$1:$D$1000,4,FALSE)*(N18+P18)/2)</f>
        <v>1.3680000000000001</v>
      </c>
      <c r="V18" s="143">
        <f t="shared" si="1"/>
        <v>6.9039111540318707</v>
      </c>
      <c r="W18" s="144">
        <f>(J18+K18+L18)+IF((VLOOKUP(Q18,MogulsDD!$A$1:$D$1000,4,FALSE)*(M18+O18)/2)&gt;3.75,3.75,VLOOKUP(Q18,MogulsDD!$A$1:$D$1000,4,FALSE)*(M18+O18)/2)+IF((VLOOKUP(R18,MogulsDD!$A$1:$D$1000,4,FALSE)*(N18+P18)/2)&gt;3.75,3.75,VLOOKUP(R18,MogulsDD!$A$1:$D$1000,4,FALSE)*(N18+P18)/2)+IF((18-12*S18/$K$5)&gt;7.5,7.5,IF((18-12*S18/$K$5)&lt;0,0,(18-12*S18/$K$5)))</f>
        <v>17.571911154031874</v>
      </c>
      <c r="X18" s="38"/>
      <c r="Y18" s="38"/>
      <c r="Z18" s="38"/>
      <c r="AA18" s="38"/>
      <c r="AB18" s="39"/>
      <c r="AC18" s="38"/>
      <c r="AD18" s="38"/>
      <c r="AE18" s="38"/>
      <c r="AF18" s="38"/>
      <c r="AG18" s="39"/>
      <c r="AH18" s="38"/>
      <c r="AI18" s="38"/>
      <c r="AJ18" s="38"/>
      <c r="AK18" s="38"/>
      <c r="AL18" s="39"/>
      <c r="AM18" s="44"/>
      <c r="AN18" s="39"/>
      <c r="AO18" s="37"/>
      <c r="AP18" s="37"/>
    </row>
    <row r="19" spans="1:42">
      <c r="A19" s="132">
        <v>7</v>
      </c>
      <c r="B19" s="126">
        <v>62</v>
      </c>
      <c r="C19" s="126">
        <v>10</v>
      </c>
      <c r="D19" s="126" t="s">
        <v>231</v>
      </c>
      <c r="E19" s="126"/>
      <c r="F19" s="126"/>
      <c r="G19" s="126" t="s">
        <v>240</v>
      </c>
      <c r="H19" s="126" t="s">
        <v>246</v>
      </c>
      <c r="I19" s="127"/>
      <c r="J19" s="128">
        <v>3</v>
      </c>
      <c r="K19" s="129">
        <v>2.8</v>
      </c>
      <c r="L19" s="129">
        <v>3.3</v>
      </c>
      <c r="M19" s="129">
        <v>1.5</v>
      </c>
      <c r="N19" s="129">
        <v>1.6</v>
      </c>
      <c r="O19" s="129">
        <v>1.6</v>
      </c>
      <c r="P19" s="129">
        <v>1.4</v>
      </c>
      <c r="Q19" s="129" t="s">
        <v>279</v>
      </c>
      <c r="R19" s="129" t="s">
        <v>276</v>
      </c>
      <c r="S19" s="129">
        <v>23.3</v>
      </c>
      <c r="T19" s="145">
        <f t="shared" si="0"/>
        <v>9.1</v>
      </c>
      <c r="U19" s="145">
        <f>IF((VLOOKUP(Q19,MogulsDD!$A$1:$D$1000,4,FALSE)*(M19+O19)/2)&gt;3.75,3.75,VLOOKUP(Q19,MogulsDD!$A$1:$D$1000,4,FALSE)*(M19+O19)/2)+IF((VLOOKUP(R19,MogulsDD!$A$1:$D$1000,4,FALSE)*(N19+P19)/2)&gt;3.75,3.75,VLOOKUP(R19,MogulsDD!$A$1:$D$1000,4,FALSE)*(N19+P19)/2)</f>
        <v>2.9779999999999998</v>
      </c>
      <c r="V19" s="145">
        <f t="shared" si="1"/>
        <v>4.4992757122163205</v>
      </c>
      <c r="W19" s="146">
        <v>16.57727571221632</v>
      </c>
      <c r="X19" s="38"/>
      <c r="Y19" s="38"/>
      <c r="Z19" s="38"/>
      <c r="AA19" s="38"/>
      <c r="AB19" s="39"/>
      <c r="AC19" s="38"/>
      <c r="AD19" s="38"/>
      <c r="AE19" s="38"/>
      <c r="AF19" s="38"/>
      <c r="AG19" s="39"/>
      <c r="AH19" s="38"/>
      <c r="AI19" s="38"/>
      <c r="AJ19" s="38"/>
      <c r="AK19" s="38"/>
      <c r="AL19" s="39"/>
      <c r="AM19" s="44"/>
      <c r="AN19" s="39"/>
      <c r="AO19" s="37"/>
      <c r="AP19" s="37"/>
    </row>
    <row r="20" spans="1:42">
      <c r="A20" s="132">
        <v>8</v>
      </c>
      <c r="B20" s="126">
        <v>86</v>
      </c>
      <c r="C20" s="126">
        <v>13</v>
      </c>
      <c r="D20" s="126" t="s">
        <v>233</v>
      </c>
      <c r="E20" s="126"/>
      <c r="F20" s="126"/>
      <c r="G20" s="126" t="s">
        <v>240</v>
      </c>
      <c r="H20" s="126" t="s">
        <v>248</v>
      </c>
      <c r="I20" s="127"/>
      <c r="J20" s="130">
        <v>2.6</v>
      </c>
      <c r="K20" s="131">
        <v>2.8</v>
      </c>
      <c r="L20" s="131">
        <v>2.8</v>
      </c>
      <c r="M20" s="131">
        <v>1.2</v>
      </c>
      <c r="N20" s="131">
        <v>1.7</v>
      </c>
      <c r="O20" s="129">
        <v>1.1000000000000001</v>
      </c>
      <c r="P20" s="129">
        <v>1.5</v>
      </c>
      <c r="Q20" s="129" t="s">
        <v>279</v>
      </c>
      <c r="R20" s="129" t="s">
        <v>276</v>
      </c>
      <c r="S20" s="129">
        <v>23.44</v>
      </c>
      <c r="T20" s="145">
        <f t="shared" si="0"/>
        <v>8.1999999999999993</v>
      </c>
      <c r="U20" s="145">
        <f>IF((VLOOKUP(Q20,MogulsDD!$A$1:$D$1000,4,FALSE)*(M20+O20)/2)&gt;3.75,3.75,VLOOKUP(Q20,MogulsDD!$A$1:$D$1000,4,FALSE)*(M20+O20)/2)+IF((VLOOKUP(R20,MogulsDD!$A$1:$D$1000,4,FALSE)*(N20+P20)/2)&gt;3.75,3.75,VLOOKUP(R20,MogulsDD!$A$1:$D$1000,4,FALSE)*(N20+P20)/2)</f>
        <v>2.7939999999999996</v>
      </c>
      <c r="V20" s="145">
        <f t="shared" si="1"/>
        <v>4.4181554804442289</v>
      </c>
      <c r="W20" s="146">
        <v>15.412155480444229</v>
      </c>
      <c r="X20" s="38"/>
      <c r="Y20" s="38"/>
      <c r="Z20" s="38"/>
      <c r="AA20" s="38"/>
      <c r="AB20" s="39"/>
      <c r="AC20" s="38"/>
      <c r="AD20" s="38"/>
      <c r="AE20" s="38"/>
      <c r="AF20" s="38"/>
      <c r="AG20" s="39"/>
      <c r="AH20" s="38"/>
      <c r="AI20" s="38"/>
      <c r="AJ20" s="38"/>
      <c r="AK20" s="38"/>
      <c r="AL20" s="39"/>
      <c r="AM20" s="44"/>
      <c r="AN20" s="39"/>
      <c r="AO20" s="37"/>
      <c r="AP20" s="37"/>
    </row>
    <row r="21" spans="1:42">
      <c r="A21" s="132">
        <v>9</v>
      </c>
      <c r="B21" s="126">
        <v>87</v>
      </c>
      <c r="C21" s="126">
        <v>5</v>
      </c>
      <c r="D21" s="126" t="s">
        <v>153</v>
      </c>
      <c r="E21" s="126"/>
      <c r="F21" s="126" t="s">
        <v>154</v>
      </c>
      <c r="G21" s="126" t="s">
        <v>122</v>
      </c>
      <c r="H21" s="126" t="s">
        <v>155</v>
      </c>
      <c r="I21" s="127" t="s">
        <v>133</v>
      </c>
      <c r="J21" s="130">
        <v>2.9</v>
      </c>
      <c r="K21" s="131">
        <v>2.6</v>
      </c>
      <c r="L21" s="131">
        <v>2.6</v>
      </c>
      <c r="M21" s="131">
        <v>0.3</v>
      </c>
      <c r="N21" s="131">
        <v>1.1000000000000001</v>
      </c>
      <c r="O21" s="129">
        <v>0.2</v>
      </c>
      <c r="P21" s="129">
        <v>1.4</v>
      </c>
      <c r="Q21" s="129" t="s">
        <v>273</v>
      </c>
      <c r="R21" s="129" t="s">
        <v>61</v>
      </c>
      <c r="S21" s="129">
        <v>21.74</v>
      </c>
      <c r="T21" s="145">
        <f t="shared" si="0"/>
        <v>8.1</v>
      </c>
      <c r="U21" s="145">
        <f>IF((VLOOKUP(Q21,MogulsDD!$A$1:$D$1000,4,FALSE)*(M21+O21)/2)&gt;3.75,3.75,VLOOKUP(Q21,MogulsDD!$A$1:$D$1000,4,FALSE)*(M21+O21)/2)+IF((VLOOKUP(R21,MogulsDD!$A$1:$D$1000,4,FALSE)*(N21+P21)/2)&gt;3.75,3.75,VLOOKUP(R21,MogulsDD!$A$1:$D$1000,4,FALSE)*(N21+P21)/2)</f>
        <v>1.7250000000000001</v>
      </c>
      <c r="V21" s="145">
        <f t="shared" si="1"/>
        <v>5.4031868662481894</v>
      </c>
      <c r="W21" s="146">
        <v>15.228186866248189</v>
      </c>
      <c r="X21" s="38"/>
      <c r="Y21" s="38"/>
      <c r="Z21" s="38"/>
      <c r="AA21" s="38"/>
      <c r="AB21" s="39"/>
      <c r="AC21" s="38"/>
      <c r="AD21" s="38"/>
      <c r="AE21" s="38"/>
      <c r="AF21" s="38"/>
      <c r="AG21" s="39"/>
      <c r="AH21" s="38"/>
      <c r="AI21" s="38"/>
      <c r="AJ21" s="38"/>
      <c r="AK21" s="38"/>
      <c r="AL21" s="39"/>
      <c r="AM21" s="44"/>
      <c r="AN21" s="39"/>
      <c r="AO21" s="37"/>
      <c r="AP21" s="37"/>
    </row>
    <row r="22" spans="1:42">
      <c r="A22" s="132">
        <v>10</v>
      </c>
      <c r="B22" s="126">
        <v>93</v>
      </c>
      <c r="C22" s="126">
        <v>8</v>
      </c>
      <c r="D22" s="126" t="s">
        <v>208</v>
      </c>
      <c r="E22" s="126">
        <v>2531506</v>
      </c>
      <c r="F22" s="126" t="s">
        <v>164</v>
      </c>
      <c r="G22" s="126" t="s">
        <v>209</v>
      </c>
      <c r="H22" s="126" t="s">
        <v>210</v>
      </c>
      <c r="I22" s="127" t="s">
        <v>211</v>
      </c>
      <c r="J22" s="130">
        <v>2.8</v>
      </c>
      <c r="K22" s="131">
        <v>2.4</v>
      </c>
      <c r="L22" s="131">
        <v>2.2999999999999998</v>
      </c>
      <c r="M22" s="131">
        <v>1.8</v>
      </c>
      <c r="N22" s="131">
        <v>1</v>
      </c>
      <c r="O22" s="129">
        <v>1.8</v>
      </c>
      <c r="P22" s="129">
        <v>0.8</v>
      </c>
      <c r="Q22" s="129" t="s">
        <v>279</v>
      </c>
      <c r="R22" s="129" t="s">
        <v>273</v>
      </c>
      <c r="S22" s="129">
        <v>22.64</v>
      </c>
      <c r="T22" s="145">
        <f t="shared" si="0"/>
        <v>7.4999999999999991</v>
      </c>
      <c r="U22" s="145">
        <f>IF((VLOOKUP(Q22,MogulsDD!$A$1:$D$1000,4,FALSE)*(M22+O22)/2)&gt;3.75,3.75,VLOOKUP(Q22,MogulsDD!$A$1:$D$1000,4,FALSE)*(M22+O22)/2)+IF((VLOOKUP(R22,MogulsDD!$A$1:$D$1000,4,FALSE)*(N22+P22)/2)&gt;3.75,3.75,VLOOKUP(R22,MogulsDD!$A$1:$D$1000,4,FALSE)*(N22+P22)/2)</f>
        <v>2.1779999999999999</v>
      </c>
      <c r="V22" s="145">
        <f t="shared" si="1"/>
        <v>4.8816996619990345</v>
      </c>
      <c r="W22" s="146">
        <v>14.559699661999034</v>
      </c>
      <c r="X22" s="38"/>
      <c r="Y22" s="38"/>
      <c r="Z22" s="38"/>
      <c r="AA22" s="38"/>
      <c r="AB22" s="39"/>
      <c r="AC22" s="38"/>
      <c r="AD22" s="38"/>
      <c r="AE22" s="38"/>
      <c r="AF22" s="38"/>
      <c r="AG22" s="39"/>
      <c r="AH22" s="38"/>
      <c r="AI22" s="38"/>
      <c r="AJ22" s="38"/>
      <c r="AK22" s="38"/>
      <c r="AL22" s="39"/>
      <c r="AM22" s="44"/>
      <c r="AN22" s="39"/>
      <c r="AO22" s="37"/>
      <c r="AP22" s="37"/>
    </row>
    <row r="23" spans="1:42">
      <c r="A23" s="132">
        <v>11</v>
      </c>
      <c r="B23" s="126">
        <v>72</v>
      </c>
      <c r="C23" s="126">
        <v>6</v>
      </c>
      <c r="D23" s="126" t="s">
        <v>234</v>
      </c>
      <c r="E23" s="126"/>
      <c r="F23" s="126"/>
      <c r="G23" s="126" t="s">
        <v>240</v>
      </c>
      <c r="H23" s="126" t="s">
        <v>249</v>
      </c>
      <c r="I23" s="127"/>
      <c r="J23" s="130">
        <v>2</v>
      </c>
      <c r="K23" s="131">
        <v>2</v>
      </c>
      <c r="L23" s="131">
        <v>1.7</v>
      </c>
      <c r="M23" s="131">
        <v>0</v>
      </c>
      <c r="N23" s="131">
        <v>0.5</v>
      </c>
      <c r="O23" s="129">
        <v>0</v>
      </c>
      <c r="P23" s="129">
        <v>0.6</v>
      </c>
      <c r="Q23" s="129" t="s">
        <v>280</v>
      </c>
      <c r="R23" s="129" t="s">
        <v>279</v>
      </c>
      <c r="S23" s="129">
        <v>25.22</v>
      </c>
      <c r="T23" s="145">
        <f t="shared" si="0"/>
        <v>5.7</v>
      </c>
      <c r="U23" s="145">
        <f>IF((VLOOKUP(Q23,MogulsDD!$A$1:$D$1000,4,FALSE)*(M23+O23)/2)&gt;3.75,3.75,VLOOKUP(Q23,MogulsDD!$A$1:$D$1000,4,FALSE)*(M23+O23)/2)+IF((VLOOKUP(R23,MogulsDD!$A$1:$D$1000,4,FALSE)*(N23+P23)/2)&gt;3.75,3.75,VLOOKUP(R23,MogulsDD!$A$1:$D$1000,4,FALSE)*(N23+P23)/2)</f>
        <v>0.41800000000000004</v>
      </c>
      <c r="V23" s="145">
        <f t="shared" si="1"/>
        <v>3.386769676484791</v>
      </c>
      <c r="W23" s="146">
        <v>9.5047696764847913</v>
      </c>
      <c r="X23" s="38"/>
      <c r="Y23" s="38"/>
      <c r="Z23" s="38"/>
      <c r="AA23" s="38"/>
      <c r="AB23" s="39"/>
      <c r="AC23" s="38"/>
      <c r="AD23" s="38"/>
      <c r="AE23" s="38"/>
      <c r="AF23" s="38"/>
      <c r="AG23" s="39"/>
      <c r="AH23" s="38"/>
      <c r="AI23" s="38"/>
      <c r="AJ23" s="38"/>
      <c r="AK23" s="38"/>
      <c r="AL23" s="39"/>
      <c r="AM23" s="44"/>
      <c r="AN23" s="39"/>
      <c r="AO23" s="37"/>
      <c r="AP23" s="37"/>
    </row>
    <row r="24" spans="1:42">
      <c r="A24" s="132">
        <v>12</v>
      </c>
      <c r="B24" s="126">
        <v>85</v>
      </c>
      <c r="C24" s="126">
        <v>4</v>
      </c>
      <c r="D24" s="126" t="s">
        <v>212</v>
      </c>
      <c r="E24" s="126">
        <v>2532171</v>
      </c>
      <c r="F24" s="126" t="s">
        <v>206</v>
      </c>
      <c r="G24" s="126" t="s">
        <v>207</v>
      </c>
      <c r="H24" s="126" t="s">
        <v>245</v>
      </c>
      <c r="I24" s="127" t="s">
        <v>213</v>
      </c>
      <c r="J24" s="130">
        <v>0</v>
      </c>
      <c r="K24" s="131">
        <v>0</v>
      </c>
      <c r="L24" s="131">
        <v>0</v>
      </c>
      <c r="M24" s="131">
        <v>0</v>
      </c>
      <c r="N24" s="131">
        <v>0</v>
      </c>
      <c r="O24" s="129">
        <v>0</v>
      </c>
      <c r="P24" s="129">
        <v>0</v>
      </c>
      <c r="Q24" s="129" t="s">
        <v>63</v>
      </c>
      <c r="R24" s="129" t="s">
        <v>63</v>
      </c>
      <c r="S24" s="129">
        <v>9999</v>
      </c>
      <c r="T24" s="145">
        <f t="shared" si="0"/>
        <v>0</v>
      </c>
      <c r="U24" s="145">
        <f>IF((VLOOKUP(Q24,MogulsDD!$A$1:$D$1000,4,FALSE)*(M24+O24)/2)&gt;3.75,3.75,VLOOKUP(Q24,MogulsDD!$A$1:$D$1000,4,FALSE)*(M24+O24)/2)+IF((VLOOKUP(R24,MogulsDD!$A$1:$D$1000,4,FALSE)*(N24+P24)/2)&gt;3.75,3.75,VLOOKUP(R24,MogulsDD!$A$1:$D$1000,4,FALSE)*(N24+P24)/2)</f>
        <v>0</v>
      </c>
      <c r="V24" s="145">
        <f t="shared" si="1"/>
        <v>0</v>
      </c>
      <c r="W24" s="146">
        <v>0</v>
      </c>
      <c r="X24" s="38"/>
      <c r="Y24" s="38"/>
      <c r="Z24" s="38"/>
      <c r="AA24" s="38"/>
      <c r="AB24" s="39"/>
      <c r="AC24" s="38"/>
      <c r="AD24" s="38"/>
      <c r="AE24" s="38"/>
      <c r="AF24" s="38"/>
      <c r="AG24" s="39"/>
      <c r="AH24" s="38"/>
      <c r="AI24" s="38"/>
      <c r="AJ24" s="38"/>
      <c r="AK24" s="38"/>
      <c r="AL24" s="39"/>
      <c r="AM24" s="44"/>
      <c r="AN24" s="39"/>
      <c r="AO24" s="37"/>
      <c r="AP24" s="37"/>
    </row>
    <row r="25" spans="1:42">
      <c r="A25" s="112">
        <v>13</v>
      </c>
      <c r="B25" s="113">
        <v>23</v>
      </c>
      <c r="C25" s="113">
        <v>14</v>
      </c>
      <c r="D25" s="113" t="s">
        <v>232</v>
      </c>
      <c r="E25" s="113"/>
      <c r="F25" s="113"/>
      <c r="G25" s="113" t="s">
        <v>240</v>
      </c>
      <c r="H25" s="114" t="s">
        <v>247</v>
      </c>
      <c r="I25" s="115"/>
      <c r="J25" s="116">
        <v>0.1</v>
      </c>
      <c r="K25" s="117">
        <v>0.1</v>
      </c>
      <c r="L25" s="117">
        <v>0.1</v>
      </c>
      <c r="M25" s="117">
        <v>0.1</v>
      </c>
      <c r="N25" s="117">
        <v>0</v>
      </c>
      <c r="O25" s="118">
        <v>0.1</v>
      </c>
      <c r="P25" s="118">
        <v>0</v>
      </c>
      <c r="Q25" s="118" t="s">
        <v>282</v>
      </c>
      <c r="R25" s="118" t="s">
        <v>274</v>
      </c>
      <c r="S25" s="118">
        <v>30.71</v>
      </c>
      <c r="T25" s="147">
        <f t="shared" si="0"/>
        <v>0.30000000000000004</v>
      </c>
      <c r="U25" s="147">
        <f>IF((VLOOKUP(Q25,MogulsDD!$A$1:$D$1000,4,FALSE)*(M25+O25)/2)&gt;3.75,3.75,VLOOKUP(Q25,MogulsDD!$A$1:$D$1000,4,FALSE)*(M25+O25)/2)+IF((VLOOKUP(R25,MogulsDD!$A$1:$D$1000,4,FALSE)*(N25+P25)/2)&gt;3.75,3.75,VLOOKUP(R25,MogulsDD!$A$1:$D$1000,4,FALSE)*(N25+P25)/2)</f>
        <v>7.7000000000000013E-2</v>
      </c>
      <c r="V25" s="147">
        <f t="shared" si="1"/>
        <v>0.20569773056494611</v>
      </c>
      <c r="W25" s="148">
        <v>0.58269773056494611</v>
      </c>
      <c r="X25" s="38"/>
      <c r="Y25" s="38"/>
      <c r="Z25" s="38"/>
      <c r="AA25" s="38"/>
      <c r="AB25" s="39"/>
      <c r="AC25" s="38"/>
      <c r="AD25" s="38"/>
      <c r="AE25" s="38"/>
      <c r="AF25" s="38"/>
      <c r="AG25" s="39"/>
      <c r="AH25" s="38"/>
      <c r="AI25" s="38"/>
      <c r="AJ25" s="38"/>
      <c r="AK25" s="38"/>
      <c r="AL25" s="39"/>
      <c r="AM25" s="44"/>
      <c r="AN25" s="39"/>
      <c r="AO25" s="37"/>
      <c r="AP25" s="37"/>
    </row>
    <row r="26" spans="1:42">
      <c r="A26" s="112">
        <v>14</v>
      </c>
      <c r="B26" s="113">
        <v>124</v>
      </c>
      <c r="C26" s="113">
        <v>12</v>
      </c>
      <c r="D26" s="113" t="s">
        <v>241</v>
      </c>
      <c r="E26" s="113"/>
      <c r="F26" s="113">
        <v>22352</v>
      </c>
      <c r="G26" s="113" t="s">
        <v>122</v>
      </c>
      <c r="H26" s="113" t="s">
        <v>127</v>
      </c>
      <c r="I26" s="115" t="s">
        <v>128</v>
      </c>
      <c r="J26" s="116">
        <v>0</v>
      </c>
      <c r="K26" s="117">
        <v>0</v>
      </c>
      <c r="L26" s="117">
        <v>0</v>
      </c>
      <c r="M26" s="117">
        <v>0</v>
      </c>
      <c r="N26" s="117">
        <v>0</v>
      </c>
      <c r="O26" s="118">
        <v>0</v>
      </c>
      <c r="P26" s="118">
        <v>0</v>
      </c>
      <c r="Q26" s="118" t="s">
        <v>63</v>
      </c>
      <c r="R26" s="118" t="s">
        <v>63</v>
      </c>
      <c r="S26" s="118">
        <v>9999</v>
      </c>
      <c r="T26" s="147">
        <f t="shared" si="0"/>
        <v>0</v>
      </c>
      <c r="U26" s="147">
        <f>IF((VLOOKUP(Q26,MogulsDD!$A$1:$D$1000,4,FALSE)*(M26+O26)/2)&gt;3.75,3.75,VLOOKUP(Q26,MogulsDD!$A$1:$D$1000,4,FALSE)*(M26+O26)/2)+IF((VLOOKUP(R26,MogulsDD!$A$1:$D$1000,4,FALSE)*(N26+P26)/2)&gt;3.75,3.75,VLOOKUP(R26,MogulsDD!$A$1:$D$1000,4,FALSE)*(N26+P26)/2)</f>
        <v>0</v>
      </c>
      <c r="V26" s="147">
        <f t="shared" si="1"/>
        <v>0</v>
      </c>
      <c r="W26" s="148">
        <v>0</v>
      </c>
      <c r="X26" s="38"/>
      <c r="Y26" s="38"/>
      <c r="Z26" s="38"/>
      <c r="AA26" s="38"/>
      <c r="AB26" s="39"/>
      <c r="AC26" s="38"/>
      <c r="AD26" s="38"/>
      <c r="AE26" s="38"/>
      <c r="AF26" s="38"/>
      <c r="AG26" s="39"/>
      <c r="AH26" s="38"/>
      <c r="AI26" s="38"/>
      <c r="AJ26" s="38"/>
      <c r="AK26" s="38"/>
      <c r="AL26" s="39"/>
      <c r="AM26" s="44"/>
      <c r="AN26" s="39"/>
      <c r="AO26" s="37"/>
      <c r="AP26" s="37"/>
    </row>
    <row r="27" spans="1:42" ht="13.8" thickBot="1">
      <c r="A27" s="7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47"/>
      <c r="X27" s="38"/>
      <c r="Y27" s="38"/>
      <c r="Z27" s="38"/>
      <c r="AA27" s="38"/>
      <c r="AB27" s="39"/>
      <c r="AC27" s="38"/>
      <c r="AD27" s="38"/>
      <c r="AE27" s="38"/>
      <c r="AF27" s="38"/>
      <c r="AG27" s="38"/>
      <c r="AH27" s="38"/>
      <c r="AI27" s="38"/>
      <c r="AJ27" s="38"/>
      <c r="AK27" s="38"/>
      <c r="AL27" s="39"/>
      <c r="AM27" s="38"/>
      <c r="AN27" s="39"/>
      <c r="AO27" s="37"/>
      <c r="AP27" s="37"/>
    </row>
    <row r="28" spans="1:42" ht="13.8" thickBot="1">
      <c r="A28" s="12"/>
      <c r="B28" s="11"/>
      <c r="C28" s="9"/>
      <c r="D28" s="9"/>
      <c r="E28" s="31" t="s">
        <v>229</v>
      </c>
      <c r="F28" s="9"/>
      <c r="G28" s="9"/>
      <c r="H28" s="9"/>
      <c r="I28" s="10"/>
      <c r="J28" s="21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48"/>
      <c r="X28" s="38"/>
      <c r="Y28" s="38"/>
      <c r="Z28" s="38"/>
      <c r="AA28" s="38"/>
      <c r="AB28" s="38"/>
      <c r="AC28" s="38"/>
      <c r="AD28" s="38"/>
      <c r="AE28" s="38"/>
      <c r="AF28" s="38"/>
      <c r="AG28" s="40"/>
      <c r="AH28" s="38"/>
      <c r="AI28" s="38"/>
      <c r="AJ28" s="38"/>
      <c r="AK28" s="38"/>
      <c r="AL28" s="40"/>
      <c r="AM28" s="38"/>
      <c r="AN28" s="39"/>
      <c r="AO28" s="37"/>
      <c r="AP28" s="37"/>
    </row>
    <row r="29" spans="1:42" ht="13.8" thickBot="1">
      <c r="A29" s="2"/>
      <c r="B29" s="3" t="s">
        <v>1</v>
      </c>
      <c r="C29" s="3" t="s">
        <v>252</v>
      </c>
      <c r="D29" s="3" t="s">
        <v>111</v>
      </c>
      <c r="E29" s="3" t="s">
        <v>238</v>
      </c>
      <c r="F29" s="3" t="s">
        <v>101</v>
      </c>
      <c r="G29" s="3" t="s">
        <v>3</v>
      </c>
      <c r="H29" s="3" t="s">
        <v>4</v>
      </c>
      <c r="I29" s="4" t="s">
        <v>5</v>
      </c>
      <c r="J29" s="2" t="s">
        <v>11</v>
      </c>
      <c r="K29" s="3" t="s">
        <v>12</v>
      </c>
      <c r="L29" s="3" t="s">
        <v>15</v>
      </c>
      <c r="M29" s="3" t="s">
        <v>66</v>
      </c>
      <c r="N29" s="3" t="s">
        <v>65</v>
      </c>
      <c r="O29" s="3" t="s">
        <v>67</v>
      </c>
      <c r="P29" s="3" t="s">
        <v>68</v>
      </c>
      <c r="Q29" s="3" t="s">
        <v>59</v>
      </c>
      <c r="R29" s="3" t="s">
        <v>60</v>
      </c>
      <c r="S29" s="3" t="s">
        <v>22</v>
      </c>
      <c r="T29" s="3" t="s">
        <v>314</v>
      </c>
      <c r="U29" s="3" t="s">
        <v>315</v>
      </c>
      <c r="V29" s="3" t="s">
        <v>316</v>
      </c>
      <c r="W29" s="46" t="s">
        <v>14</v>
      </c>
      <c r="X29" s="41"/>
      <c r="Y29" s="41"/>
      <c r="Z29" s="41"/>
      <c r="AA29" s="41"/>
      <c r="AB29" s="42"/>
      <c r="AC29" s="41"/>
      <c r="AD29" s="41"/>
      <c r="AE29" s="41"/>
      <c r="AF29" s="41"/>
      <c r="AG29" s="42"/>
      <c r="AH29" s="41"/>
      <c r="AI29" s="41"/>
      <c r="AJ29" s="41"/>
      <c r="AK29" s="41"/>
      <c r="AL29" s="42"/>
      <c r="AM29" s="43"/>
      <c r="AN29" s="39"/>
      <c r="AO29" s="37"/>
      <c r="AP29" s="37"/>
    </row>
    <row r="30" spans="1:42">
      <c r="A30" s="19">
        <f>RANK(W30,$W$30:$W$35,0)</f>
        <v>1</v>
      </c>
      <c r="B30" s="32">
        <v>115</v>
      </c>
      <c r="C30" s="22">
        <v>14</v>
      </c>
      <c r="D30" s="22" t="s">
        <v>118</v>
      </c>
      <c r="E30" s="22">
        <v>2528768</v>
      </c>
      <c r="F30" s="22" t="s">
        <v>119</v>
      </c>
      <c r="G30" s="22" t="s">
        <v>129</v>
      </c>
      <c r="H30" s="22" t="s">
        <v>120</v>
      </c>
      <c r="I30" s="23" t="s">
        <v>121</v>
      </c>
      <c r="J30" s="24">
        <v>4.8</v>
      </c>
      <c r="K30" s="25">
        <v>4.7</v>
      </c>
      <c r="L30" s="25">
        <v>4.8</v>
      </c>
      <c r="M30" s="51">
        <v>2.5</v>
      </c>
      <c r="N30" s="51">
        <v>2.4</v>
      </c>
      <c r="O30" s="49">
        <v>2.5</v>
      </c>
      <c r="P30" s="49">
        <v>2.5</v>
      </c>
      <c r="Q30" s="49" t="s">
        <v>284</v>
      </c>
      <c r="R30" s="49" t="s">
        <v>286</v>
      </c>
      <c r="S30" s="25">
        <v>17.3</v>
      </c>
      <c r="T30" s="143">
        <f t="shared" ref="T30:T52" si="3">(J30+K30+L30)</f>
        <v>14.3</v>
      </c>
      <c r="U30" s="143">
        <f>IF((VLOOKUP(Q30,MogulsDD!$A$1:$C$1000,3,FALSE)*(M30+O30)/2)&gt;3.75,3.75,VLOOKUP(Q30,MogulsDD!$A$1:$C$1000,3,FALSE)*(M30+O30)/2)+IF((VLOOKUP(R30,MogulsDD!$A$1:$C$1000,3,FALSE)*(N30+P30)/2)&gt;3.75,3.75,VLOOKUP(R30,MogulsDD!$A$1:$C$1000,3,FALSE)*(N30+P30)/2)</f>
        <v>5.2955000000000005</v>
      </c>
      <c r="V30" s="143">
        <f>IF((18-12*S30/$J$5)&gt;7.5,7.5,IF((18-12*S30/$J$5)&lt;0,0,(18-12*S30/$J$5)))</f>
        <v>6.1844052361980637</v>
      </c>
      <c r="W30" s="144">
        <f>(J30+K30+L30)+IF((VLOOKUP(Q30,MogulsDD!$A$1:$C$1000,3,FALSE)*(M30+O30)/2)&gt;3.75,3.75,VLOOKUP(Q30,MogulsDD!$A$1:$C$1000,3,FALSE)*(M30+O30)/2)+IF((VLOOKUP(R30,MogulsDD!$A$1:$C$1000,3,FALSE)*(N30+P30)/2)&gt;3.75,3.75,VLOOKUP(R30,MogulsDD!$A$1:$C$1000,3,FALSE)*(N30+P30)/2)+IF((18-12*S30/$J$5)&gt;7.5,7.5,IF((18-12*S30/$J$5)&lt;0,0,(18-12*S30/$J$5)))</f>
        <v>25.779905236198065</v>
      </c>
      <c r="X30" s="38"/>
      <c r="Y30" s="38"/>
      <c r="Z30" s="38"/>
      <c r="AA30" s="38"/>
      <c r="AB30" s="39"/>
      <c r="AC30" s="38"/>
      <c r="AD30" s="38"/>
      <c r="AE30" s="38"/>
      <c r="AF30" s="38"/>
      <c r="AG30" s="39"/>
      <c r="AH30" s="38"/>
      <c r="AI30" s="38"/>
      <c r="AJ30" s="38"/>
      <c r="AK30" s="38"/>
      <c r="AL30" s="39"/>
      <c r="AM30" s="44"/>
      <c r="AN30" s="39"/>
      <c r="AO30" s="37"/>
      <c r="AP30" s="37"/>
    </row>
    <row r="31" spans="1:42">
      <c r="A31" s="19">
        <f t="shared" ref="A31:A35" si="4">RANK(W31,$W$30:$W$35,0)</f>
        <v>2</v>
      </c>
      <c r="B31" s="32">
        <v>100</v>
      </c>
      <c r="C31" s="22">
        <v>20</v>
      </c>
      <c r="D31" s="22" t="s">
        <v>203</v>
      </c>
      <c r="E31" s="22"/>
      <c r="F31" s="22" t="s">
        <v>164</v>
      </c>
      <c r="G31" s="22" t="s">
        <v>209</v>
      </c>
      <c r="H31" s="22" t="s">
        <v>204</v>
      </c>
      <c r="I31" s="23" t="s">
        <v>115</v>
      </c>
      <c r="J31" s="27">
        <v>4.3</v>
      </c>
      <c r="K31" s="28">
        <v>4.2</v>
      </c>
      <c r="L31" s="28">
        <v>4.4000000000000004</v>
      </c>
      <c r="M31" s="52">
        <v>2.1</v>
      </c>
      <c r="N31" s="52">
        <v>2.2999999999999998</v>
      </c>
      <c r="O31" s="49">
        <v>2.2000000000000002</v>
      </c>
      <c r="P31" s="49">
        <v>2.4</v>
      </c>
      <c r="Q31" s="49" t="s">
        <v>276</v>
      </c>
      <c r="R31" s="49" t="s">
        <v>285</v>
      </c>
      <c r="S31" s="25">
        <v>18.3</v>
      </c>
      <c r="T31" s="143">
        <f t="shared" si="3"/>
        <v>12.9</v>
      </c>
      <c r="U31" s="143">
        <f>IF((VLOOKUP(Q31,MogulsDD!$A$1:$C$1000,3,FALSE)*(M31+O31)/2)&gt;3.75,3.75,VLOOKUP(Q31,MogulsDD!$A$1:$C$1000,3,FALSE)*(M31+O31)/2)+IF((VLOOKUP(R31,MogulsDD!$A$1:$C$1000,3,FALSE)*(N31+P31)/2)&gt;3.75,3.75,VLOOKUP(R31,MogulsDD!$A$1:$C$1000,3,FALSE)*(N31+P31)/2)</f>
        <v>5.0069999999999997</v>
      </c>
      <c r="V31" s="143">
        <f t="shared" ref="V31:V52" si="5">IF((18-12*S31/$J$5)&gt;7.5,7.5,IF((18-12*S31/$J$5)&lt;0,0,(18-12*S31/$J$5)))</f>
        <v>5.5014228799089349</v>
      </c>
      <c r="W31" s="144">
        <f>(J31+K31+L31)+IF((VLOOKUP(Q31,MogulsDD!$A$1:$C$1000,3,FALSE)*(M31+O31)/2)&gt;3.75,3.75,VLOOKUP(Q31,MogulsDD!$A$1:$C$1000,3,FALSE)*(M31+O31)/2)+IF((VLOOKUP(R31,MogulsDD!$A$1:$C$1000,3,FALSE)*(N31+P31)/2)&gt;3.75,3.75,VLOOKUP(R31,MogulsDD!$A$1:$C$1000,3,FALSE)*(N31+P31)/2)+IF((18-12*S31/$J$5)&gt;7.5,7.5,IF((18-12*S31/$J$5)&lt;0,0,(18-12*S31/$J$5)))</f>
        <v>23.408422879908933</v>
      </c>
      <c r="X31" s="38"/>
      <c r="Y31" s="38"/>
      <c r="Z31" s="38"/>
      <c r="AA31" s="38"/>
      <c r="AB31" s="39"/>
      <c r="AC31" s="38"/>
      <c r="AD31" s="38"/>
      <c r="AE31" s="38"/>
      <c r="AF31" s="38"/>
      <c r="AG31" s="39"/>
      <c r="AH31" s="38"/>
      <c r="AI31" s="38"/>
      <c r="AJ31" s="38"/>
      <c r="AK31" s="38"/>
      <c r="AL31" s="39"/>
      <c r="AM31" s="44"/>
      <c r="AN31" s="39"/>
      <c r="AO31" s="37"/>
      <c r="AP31" s="37"/>
    </row>
    <row r="32" spans="1:42">
      <c r="A32" s="19">
        <f t="shared" si="4"/>
        <v>3</v>
      </c>
      <c r="B32" s="32">
        <v>97</v>
      </c>
      <c r="C32" s="22">
        <v>22</v>
      </c>
      <c r="D32" s="22" t="s">
        <v>159</v>
      </c>
      <c r="E32" s="22">
        <v>2485295</v>
      </c>
      <c r="F32" s="22" t="s">
        <v>160</v>
      </c>
      <c r="G32" s="22" t="s">
        <v>122</v>
      </c>
      <c r="H32" s="22" t="s">
        <v>161</v>
      </c>
      <c r="I32" s="23" t="s">
        <v>162</v>
      </c>
      <c r="J32" s="27">
        <v>4.2</v>
      </c>
      <c r="K32" s="28">
        <v>4.0999999999999996</v>
      </c>
      <c r="L32" s="28">
        <v>4.4000000000000004</v>
      </c>
      <c r="M32" s="52">
        <v>2.4</v>
      </c>
      <c r="N32" s="52">
        <v>2.1</v>
      </c>
      <c r="O32" s="49">
        <v>2.2999999999999998</v>
      </c>
      <c r="P32" s="49">
        <v>2</v>
      </c>
      <c r="Q32" s="49" t="s">
        <v>284</v>
      </c>
      <c r="R32" s="49" t="s">
        <v>286</v>
      </c>
      <c r="S32" s="25">
        <v>17.920000000000002</v>
      </c>
      <c r="T32" s="143">
        <f t="shared" si="3"/>
        <v>12.700000000000001</v>
      </c>
      <c r="U32" s="143">
        <f>IF((VLOOKUP(Q32,MogulsDD!$A$1:$C$1000,3,FALSE)*(M32+O32)/2)&gt;3.75,3.75,VLOOKUP(Q32,MogulsDD!$A$1:$C$1000,3,FALSE)*(M32+O32)/2)+IF((VLOOKUP(R32,MogulsDD!$A$1:$C$1000,3,FALSE)*(N32+P32)/2)&gt;3.75,3.75,VLOOKUP(R32,MogulsDD!$A$1:$C$1000,3,FALSE)*(N32+P32)/2)</f>
        <v>4.702</v>
      </c>
      <c r="V32" s="143">
        <f t="shared" si="5"/>
        <v>5.7609561752988032</v>
      </c>
      <c r="W32" s="144">
        <f>(J32+K32+L32)+IF((VLOOKUP(Q32,MogulsDD!$A$1:$C$1000,3,FALSE)*(M32+O32)/2)&gt;3.75,3.75,VLOOKUP(Q32,MogulsDD!$A$1:$C$1000,3,FALSE)*(M32+O32)/2)+IF((VLOOKUP(R32,MogulsDD!$A$1:$C$1000,3,FALSE)*(N32+P32)/2)&gt;3.75,3.75,VLOOKUP(R32,MogulsDD!$A$1:$C$1000,3,FALSE)*(N32+P32)/2)+IF((18-12*S32/$J$5)&gt;7.5,7.5,IF((18-12*S32/$J$5)&lt;0,0,(18-12*S32/$J$5)))</f>
        <v>23.162956175298802</v>
      </c>
      <c r="X32" s="38"/>
      <c r="Y32" s="38"/>
      <c r="Z32" s="38"/>
      <c r="AA32" s="38"/>
      <c r="AB32" s="39"/>
      <c r="AC32" s="38"/>
      <c r="AD32" s="38"/>
      <c r="AE32" s="38"/>
      <c r="AF32" s="38"/>
      <c r="AG32" s="39"/>
      <c r="AH32" s="38"/>
      <c r="AI32" s="38"/>
      <c r="AJ32" s="38"/>
      <c r="AK32" s="38"/>
      <c r="AL32" s="39"/>
      <c r="AM32" s="44"/>
      <c r="AN32" s="39"/>
      <c r="AO32" s="37"/>
      <c r="AP32" s="37"/>
    </row>
    <row r="33" spans="1:42">
      <c r="A33" s="19">
        <f t="shared" si="4"/>
        <v>4</v>
      </c>
      <c r="B33" s="32">
        <v>49</v>
      </c>
      <c r="C33" s="22">
        <v>4</v>
      </c>
      <c r="D33" s="22" t="s">
        <v>170</v>
      </c>
      <c r="E33" s="22">
        <v>2529840</v>
      </c>
      <c r="F33" s="22" t="s">
        <v>164</v>
      </c>
      <c r="G33" s="22" t="s">
        <v>209</v>
      </c>
      <c r="H33" s="22" t="s">
        <v>171</v>
      </c>
      <c r="I33" s="23" t="s">
        <v>103</v>
      </c>
      <c r="J33" s="27">
        <v>4.0999999999999996</v>
      </c>
      <c r="K33" s="28">
        <v>4</v>
      </c>
      <c r="L33" s="28">
        <v>4.3</v>
      </c>
      <c r="M33" s="52">
        <v>1.8</v>
      </c>
      <c r="N33" s="52">
        <v>1.7</v>
      </c>
      <c r="O33" s="49">
        <v>2.1</v>
      </c>
      <c r="P33" s="49">
        <v>1.9</v>
      </c>
      <c r="Q33" s="49" t="s">
        <v>270</v>
      </c>
      <c r="R33" s="49" t="s">
        <v>272</v>
      </c>
      <c r="S33" s="25">
        <v>18.190000000000001</v>
      </c>
      <c r="T33" s="143">
        <f t="shared" si="3"/>
        <v>12.399999999999999</v>
      </c>
      <c r="U33" s="143">
        <f>IF((VLOOKUP(Q33,MogulsDD!$A$1:$C$1000,3,FALSE)*(M33+O33)/2)&gt;3.75,3.75,VLOOKUP(Q33,MogulsDD!$A$1:$C$1000,3,FALSE)*(M33+O33)/2)+IF((VLOOKUP(R33,MogulsDD!$A$1:$C$1000,3,FALSE)*(N33+P33)/2)&gt;3.75,3.75,VLOOKUP(R33,MogulsDD!$A$1:$C$1000,3,FALSE)*(N33+P33)/2)</f>
        <v>4.0274999999999999</v>
      </c>
      <c r="V33" s="143">
        <f t="shared" si="5"/>
        <v>5.5765509391007377</v>
      </c>
      <c r="W33" s="144">
        <f>(J33+K33+L33)+IF((VLOOKUP(Q33,MogulsDD!$A$1:$C$1000,3,FALSE)*(M33+O33)/2)&gt;3.75,3.75,VLOOKUP(Q33,MogulsDD!$A$1:$C$1000,3,FALSE)*(M33+O33)/2)+IF((VLOOKUP(R33,MogulsDD!$A$1:$C$1000,3,FALSE)*(N33+P33)/2)&gt;3.75,3.75,VLOOKUP(R33,MogulsDD!$A$1:$C$1000,3,FALSE)*(N33+P33)/2)+IF((18-12*S33/$J$5)&gt;7.5,7.5,IF((18-12*S33/$J$5)&lt;0,0,(18-12*S33/$J$5)))</f>
        <v>22.004050939100736</v>
      </c>
      <c r="X33" s="38"/>
      <c r="Y33" s="38"/>
      <c r="Z33" s="38"/>
      <c r="AA33" s="38"/>
      <c r="AB33" s="39"/>
      <c r="AC33" s="38"/>
      <c r="AD33" s="38"/>
      <c r="AE33" s="38"/>
      <c r="AF33" s="38"/>
      <c r="AG33" s="39"/>
      <c r="AH33" s="38"/>
      <c r="AI33" s="38"/>
      <c r="AJ33" s="38"/>
      <c r="AK33" s="38"/>
      <c r="AL33" s="39"/>
      <c r="AM33" s="44"/>
      <c r="AN33" s="39"/>
      <c r="AO33" s="37"/>
      <c r="AP33" s="37"/>
    </row>
    <row r="34" spans="1:42">
      <c r="A34" s="19">
        <f t="shared" si="4"/>
        <v>5</v>
      </c>
      <c r="B34" s="32">
        <v>88</v>
      </c>
      <c r="C34" s="22">
        <v>9</v>
      </c>
      <c r="D34" s="22" t="s">
        <v>168</v>
      </c>
      <c r="E34" s="22"/>
      <c r="F34" s="22" t="s">
        <v>164</v>
      </c>
      <c r="G34" s="22" t="s">
        <v>209</v>
      </c>
      <c r="H34" s="99" t="s">
        <v>169</v>
      </c>
      <c r="I34" s="23" t="s">
        <v>103</v>
      </c>
      <c r="J34" s="27">
        <v>3.5</v>
      </c>
      <c r="K34" s="28">
        <v>3.3</v>
      </c>
      <c r="L34" s="28">
        <v>3.7</v>
      </c>
      <c r="M34" s="52">
        <v>2.1</v>
      </c>
      <c r="N34" s="52">
        <v>1.3</v>
      </c>
      <c r="O34" s="49">
        <v>2.1</v>
      </c>
      <c r="P34" s="49">
        <v>1.4</v>
      </c>
      <c r="Q34" s="49" t="s">
        <v>284</v>
      </c>
      <c r="R34" s="49" t="s">
        <v>272</v>
      </c>
      <c r="S34" s="25">
        <v>17.54</v>
      </c>
      <c r="T34" s="143">
        <f t="shared" si="3"/>
        <v>10.5</v>
      </c>
      <c r="U34" s="143">
        <f>IF((VLOOKUP(Q34,MogulsDD!$A$1:$C$1000,3,FALSE)*(M34+O34)/2)&gt;3.75,3.75,VLOOKUP(Q34,MogulsDD!$A$1:$C$1000,3,FALSE)*(M34+O34)/2)+IF((VLOOKUP(R34,MogulsDD!$A$1:$C$1000,3,FALSE)*(N34+P34)/2)&gt;3.75,3.75,VLOOKUP(R34,MogulsDD!$A$1:$C$1000,3,FALSE)*(N34+P34)/2)</f>
        <v>3.6900000000000004</v>
      </c>
      <c r="V34" s="143">
        <f t="shared" si="5"/>
        <v>6.0204894706886751</v>
      </c>
      <c r="W34" s="144">
        <f>(J34+K34+L34)+IF((VLOOKUP(Q34,MogulsDD!$A$1:$C$1000,3,FALSE)*(M34+O34)/2)&gt;3.75,3.75,VLOOKUP(Q34,MogulsDD!$A$1:$C$1000,3,FALSE)*(M34+O34)/2)+IF((VLOOKUP(R34,MogulsDD!$A$1:$C$1000,3,FALSE)*(N34+P34)/2)&gt;3.75,3.75,VLOOKUP(R34,MogulsDD!$A$1:$C$1000,3,FALSE)*(N34+P34)/2)+IF((18-12*S34/$J$5)&gt;7.5,7.5,IF((18-12*S34/$J$5)&lt;0,0,(18-12*S34/$J$5)))</f>
        <v>20.210489470688678</v>
      </c>
      <c r="X34" s="38"/>
      <c r="Y34" s="38"/>
      <c r="Z34" s="38"/>
      <c r="AA34" s="38"/>
      <c r="AB34" s="39"/>
      <c r="AC34" s="38"/>
      <c r="AD34" s="38"/>
      <c r="AE34" s="38"/>
      <c r="AF34" s="38"/>
      <c r="AG34" s="39"/>
      <c r="AH34" s="38"/>
      <c r="AI34" s="38"/>
      <c r="AJ34" s="38"/>
      <c r="AK34" s="38"/>
      <c r="AL34" s="39"/>
      <c r="AM34" s="44"/>
      <c r="AN34" s="39"/>
      <c r="AO34" s="37"/>
      <c r="AP34" s="37"/>
    </row>
    <row r="35" spans="1:42">
      <c r="A35" s="19">
        <f t="shared" si="4"/>
        <v>6</v>
      </c>
      <c r="B35" s="32">
        <v>56</v>
      </c>
      <c r="C35" s="22">
        <v>7</v>
      </c>
      <c r="D35" s="22" t="s">
        <v>172</v>
      </c>
      <c r="E35" s="22">
        <v>2531748</v>
      </c>
      <c r="F35" s="22" t="s">
        <v>173</v>
      </c>
      <c r="G35" s="22" t="s">
        <v>239</v>
      </c>
      <c r="H35" s="22" t="s">
        <v>174</v>
      </c>
      <c r="I35" s="23" t="s">
        <v>175</v>
      </c>
      <c r="J35" s="27">
        <v>0.1</v>
      </c>
      <c r="K35" s="28">
        <v>0.1</v>
      </c>
      <c r="L35" s="28">
        <v>0.1</v>
      </c>
      <c r="M35" s="52">
        <v>0.1</v>
      </c>
      <c r="N35" s="52">
        <v>0.1</v>
      </c>
      <c r="O35" s="49">
        <v>0.1</v>
      </c>
      <c r="P35" s="49">
        <v>0.1</v>
      </c>
      <c r="Q35" s="49" t="s">
        <v>270</v>
      </c>
      <c r="R35" s="49" t="s">
        <v>272</v>
      </c>
      <c r="S35" s="25">
        <v>25.36</v>
      </c>
      <c r="T35" s="143">
        <f t="shared" si="3"/>
        <v>0.30000000000000004</v>
      </c>
      <c r="U35" s="143">
        <f>IF((VLOOKUP(Q35,MogulsDD!$A$1:$C$1000,3,FALSE)*(M35+O35)/2)&gt;3.75,3.75,VLOOKUP(Q35,MogulsDD!$A$1:$C$1000,3,FALSE)*(M35+O35)/2)+IF((VLOOKUP(R35,MogulsDD!$A$1:$C$1000,3,FALSE)*(N35+P35)/2)&gt;3.75,3.75,VLOOKUP(R35,MogulsDD!$A$1:$C$1000,3,FALSE)*(N35+P35)/2)</f>
        <v>0.21500000000000002</v>
      </c>
      <c r="V35" s="143">
        <f t="shared" si="5"/>
        <v>0.67956744450768269</v>
      </c>
      <c r="W35" s="144">
        <f>(J35+K35+L35)+IF((VLOOKUP(Q35,MogulsDD!$A$1:$C$1000,3,FALSE)*(M35+O35)/2)&gt;3.75,3.75,VLOOKUP(Q35,MogulsDD!$A$1:$C$1000,3,FALSE)*(M35+O35)/2)+IF((VLOOKUP(R35,MogulsDD!$A$1:$C$1000,3,FALSE)*(N35+P35)/2)&gt;3.75,3.75,VLOOKUP(R35,MogulsDD!$A$1:$C$1000,3,FALSE)*(N35+P35)/2)+IF((18-12*S35/$J$5)&gt;7.5,7.5,IF((18-12*S35/$J$5)&lt;0,0,(18-12*S35/$J$5)))</f>
        <v>1.1945674445076828</v>
      </c>
      <c r="X35" s="38"/>
      <c r="Y35" s="38"/>
      <c r="Z35" s="38"/>
      <c r="AA35" s="38"/>
      <c r="AB35" s="39"/>
      <c r="AC35" s="38"/>
      <c r="AD35" s="38"/>
      <c r="AE35" s="38"/>
      <c r="AF35" s="38"/>
      <c r="AG35" s="39"/>
      <c r="AH35" s="38"/>
      <c r="AI35" s="38"/>
      <c r="AJ35" s="38"/>
      <c r="AK35" s="38"/>
      <c r="AL35" s="39"/>
      <c r="AM35" s="44"/>
      <c r="AN35" s="39"/>
      <c r="AO35" s="37"/>
      <c r="AP35" s="37"/>
    </row>
    <row r="36" spans="1:42">
      <c r="A36" s="132">
        <v>7</v>
      </c>
      <c r="B36" s="133">
        <v>95</v>
      </c>
      <c r="C36" s="126">
        <v>11</v>
      </c>
      <c r="D36" s="126" t="s">
        <v>134</v>
      </c>
      <c r="E36" s="126"/>
      <c r="F36" s="126" t="s">
        <v>135</v>
      </c>
      <c r="G36" s="126" t="s">
        <v>138</v>
      </c>
      <c r="H36" s="126" t="s">
        <v>136</v>
      </c>
      <c r="I36" s="127" t="s">
        <v>137</v>
      </c>
      <c r="J36" s="130">
        <v>4.3</v>
      </c>
      <c r="K36" s="131">
        <v>4.4000000000000004</v>
      </c>
      <c r="L36" s="131">
        <v>4.4000000000000004</v>
      </c>
      <c r="M36" s="131">
        <v>2.2000000000000002</v>
      </c>
      <c r="N36" s="131">
        <v>2</v>
      </c>
      <c r="O36" s="129">
        <v>2.2000000000000002</v>
      </c>
      <c r="P36" s="129">
        <v>2</v>
      </c>
      <c r="Q36" s="129" t="s">
        <v>61</v>
      </c>
      <c r="R36" s="129" t="s">
        <v>284</v>
      </c>
      <c r="S36" s="129">
        <v>20.07</v>
      </c>
      <c r="T36" s="145">
        <f t="shared" si="3"/>
        <v>13.1</v>
      </c>
      <c r="U36" s="145">
        <f>IF((VLOOKUP(Q36,MogulsDD!$A$1:$C$1000,3,FALSE)*(M36+O36)/2)&gt;3.75,3.75,VLOOKUP(Q36,MogulsDD!$A$1:$C$1000,3,FALSE)*(M36+O36)/2)+IF((VLOOKUP(R36,MogulsDD!$A$1:$C$1000,3,FALSE)*(N36+P36)/2)&gt;3.75,3.75,VLOOKUP(R36,MogulsDD!$A$1:$C$1000,3,FALSE)*(N36+P36)/2)</f>
        <v>4.41</v>
      </c>
      <c r="V36" s="145">
        <f t="shared" si="5"/>
        <v>4.292544109277177</v>
      </c>
      <c r="W36" s="146">
        <v>21.802544109277179</v>
      </c>
      <c r="X36" s="38"/>
      <c r="Y36" s="38"/>
      <c r="Z36" s="38"/>
      <c r="AA36" s="38"/>
      <c r="AB36" s="39"/>
      <c r="AC36" s="38"/>
      <c r="AD36" s="38"/>
      <c r="AE36" s="38"/>
      <c r="AF36" s="38"/>
      <c r="AG36" s="39"/>
      <c r="AH36" s="38"/>
      <c r="AI36" s="38"/>
      <c r="AJ36" s="38"/>
      <c r="AK36" s="38"/>
      <c r="AL36" s="39"/>
      <c r="AM36" s="44"/>
      <c r="AN36" s="39"/>
      <c r="AO36" s="37"/>
      <c r="AP36" s="37"/>
    </row>
    <row r="37" spans="1:42">
      <c r="A37" s="132">
        <v>8</v>
      </c>
      <c r="B37" s="133">
        <v>18</v>
      </c>
      <c r="C37" s="126">
        <v>13</v>
      </c>
      <c r="D37" s="126" t="s">
        <v>123</v>
      </c>
      <c r="E37" s="126">
        <v>2531086</v>
      </c>
      <c r="F37" s="126" t="s">
        <v>124</v>
      </c>
      <c r="G37" s="126" t="s">
        <v>122</v>
      </c>
      <c r="H37" s="126" t="s">
        <v>125</v>
      </c>
      <c r="I37" s="127" t="s">
        <v>126</v>
      </c>
      <c r="J37" s="130">
        <v>3.7</v>
      </c>
      <c r="K37" s="131">
        <v>4.0999999999999996</v>
      </c>
      <c r="L37" s="131">
        <v>4.2</v>
      </c>
      <c r="M37" s="131">
        <v>1.7</v>
      </c>
      <c r="N37" s="131">
        <v>1.7</v>
      </c>
      <c r="O37" s="129">
        <v>1.5</v>
      </c>
      <c r="P37" s="129">
        <v>1.5</v>
      </c>
      <c r="Q37" s="129" t="s">
        <v>270</v>
      </c>
      <c r="R37" s="129" t="s">
        <v>286</v>
      </c>
      <c r="S37" s="129">
        <v>20.05</v>
      </c>
      <c r="T37" s="145">
        <f t="shared" si="3"/>
        <v>12</v>
      </c>
      <c r="U37" s="145">
        <f>IF((VLOOKUP(Q37,MogulsDD!$A$1:$C$1000,3,FALSE)*(M37+O37)/2)&gt;3.75,3.75,VLOOKUP(Q37,MogulsDD!$A$1:$C$1000,3,FALSE)*(M37+O37)/2)+IF((VLOOKUP(R37,MogulsDD!$A$1:$C$1000,3,FALSE)*(N37+P37)/2)&gt;3.75,3.75,VLOOKUP(R37,MogulsDD!$A$1:$C$1000,3,FALSE)*(N37+P37)/2)</f>
        <v>3.4240000000000004</v>
      </c>
      <c r="V37" s="145">
        <f t="shared" si="5"/>
        <v>4.306203756402958</v>
      </c>
      <c r="W37" s="146">
        <v>19.730203756402958</v>
      </c>
      <c r="X37" s="38"/>
      <c r="Y37" s="38"/>
      <c r="Z37" s="38"/>
      <c r="AA37" s="38"/>
      <c r="AB37" s="39"/>
      <c r="AC37" s="38"/>
      <c r="AD37" s="38"/>
      <c r="AE37" s="38"/>
      <c r="AF37" s="38"/>
      <c r="AG37" s="39"/>
      <c r="AH37" s="38"/>
      <c r="AI37" s="38"/>
      <c r="AJ37" s="38"/>
      <c r="AK37" s="38"/>
      <c r="AL37" s="39"/>
      <c r="AM37" s="44"/>
      <c r="AN37" s="39"/>
      <c r="AO37" s="37"/>
      <c r="AP37" s="37"/>
    </row>
    <row r="38" spans="1:42">
      <c r="A38" s="132">
        <v>9</v>
      </c>
      <c r="B38" s="133">
        <v>44</v>
      </c>
      <c r="C38" s="126">
        <v>3</v>
      </c>
      <c r="D38" s="126" t="s">
        <v>110</v>
      </c>
      <c r="E38" s="126">
        <v>2531950</v>
      </c>
      <c r="F38" s="126" t="s">
        <v>106</v>
      </c>
      <c r="G38" s="126" t="s">
        <v>122</v>
      </c>
      <c r="H38" s="126" t="s">
        <v>102</v>
      </c>
      <c r="I38" s="127" t="s">
        <v>103</v>
      </c>
      <c r="J38" s="130">
        <v>3.5</v>
      </c>
      <c r="K38" s="131">
        <v>3.9</v>
      </c>
      <c r="L38" s="131">
        <v>4</v>
      </c>
      <c r="M38" s="131">
        <v>1</v>
      </c>
      <c r="N38" s="131">
        <v>1.8</v>
      </c>
      <c r="O38" s="129">
        <v>1.2</v>
      </c>
      <c r="P38" s="129">
        <v>1.9</v>
      </c>
      <c r="Q38" s="129" t="s">
        <v>61</v>
      </c>
      <c r="R38" s="129" t="s">
        <v>272</v>
      </c>
      <c r="S38" s="129">
        <v>19.27</v>
      </c>
      <c r="T38" s="145">
        <f t="shared" si="3"/>
        <v>11.4</v>
      </c>
      <c r="U38" s="145">
        <f>IF((VLOOKUP(Q38,MogulsDD!$A$1:$C$1000,3,FALSE)*(M38+O38)/2)&gt;3.75,3.75,VLOOKUP(Q38,MogulsDD!$A$1:$C$1000,3,FALSE)*(M38+O38)/2)+IF((VLOOKUP(R38,MogulsDD!$A$1:$C$1000,3,FALSE)*(N38+P38)/2)&gt;3.75,3.75,VLOOKUP(R38,MogulsDD!$A$1:$C$1000,3,FALSE)*(N38+P38)/2)</f>
        <v>3.1900000000000004</v>
      </c>
      <c r="V38" s="145">
        <f t="shared" si="5"/>
        <v>4.8389299943084794</v>
      </c>
      <c r="W38" s="146">
        <v>19.428929994308479</v>
      </c>
      <c r="X38" s="38"/>
      <c r="Y38" s="38"/>
      <c r="Z38" s="38"/>
      <c r="AA38" s="38"/>
      <c r="AB38" s="39"/>
      <c r="AC38" s="38"/>
      <c r="AD38" s="38"/>
      <c r="AE38" s="38"/>
      <c r="AF38" s="38"/>
      <c r="AG38" s="39"/>
      <c r="AH38" s="38"/>
      <c r="AI38" s="38"/>
      <c r="AJ38" s="38"/>
      <c r="AK38" s="38"/>
      <c r="AL38" s="39"/>
      <c r="AM38" s="44"/>
      <c r="AN38" s="39"/>
      <c r="AO38" s="37"/>
      <c r="AP38" s="37"/>
    </row>
    <row r="39" spans="1:42">
      <c r="A39" s="132">
        <v>10</v>
      </c>
      <c r="B39" s="133">
        <v>3</v>
      </c>
      <c r="C39" s="126">
        <v>6</v>
      </c>
      <c r="D39" s="126" t="s">
        <v>156</v>
      </c>
      <c r="E39" s="126">
        <v>2532116</v>
      </c>
      <c r="F39" s="126" t="s">
        <v>157</v>
      </c>
      <c r="G39" s="126" t="s">
        <v>122</v>
      </c>
      <c r="H39" s="126" t="s">
        <v>158</v>
      </c>
      <c r="I39" s="127" t="s">
        <v>128</v>
      </c>
      <c r="J39" s="130">
        <v>3.6</v>
      </c>
      <c r="K39" s="131">
        <v>4</v>
      </c>
      <c r="L39" s="131">
        <v>4.0999999999999996</v>
      </c>
      <c r="M39" s="131">
        <v>1.8</v>
      </c>
      <c r="N39" s="131">
        <v>1.6</v>
      </c>
      <c r="O39" s="129">
        <v>1.6</v>
      </c>
      <c r="P39" s="129">
        <v>1.6</v>
      </c>
      <c r="Q39" s="129" t="s">
        <v>287</v>
      </c>
      <c r="R39" s="129" t="s">
        <v>273</v>
      </c>
      <c r="S39" s="129">
        <v>19.829999999999998</v>
      </c>
      <c r="T39" s="145">
        <f t="shared" si="3"/>
        <v>11.7</v>
      </c>
      <c r="U39" s="145">
        <f>IF((VLOOKUP(Q39,MogulsDD!$A$1:$C$1000,3,FALSE)*(M39+O39)/2)&gt;3.75,3.75,VLOOKUP(Q39,MogulsDD!$A$1:$C$1000,3,FALSE)*(M39+O39)/2)+IF((VLOOKUP(R39,MogulsDD!$A$1:$C$1000,3,FALSE)*(N39+P39)/2)&gt;3.75,3.75,VLOOKUP(R39,MogulsDD!$A$1:$C$1000,3,FALSE)*(N39+P39)/2)</f>
        <v>2.6110000000000002</v>
      </c>
      <c r="V39" s="145">
        <f t="shared" si="5"/>
        <v>4.4564598747865691</v>
      </c>
      <c r="W39" s="146">
        <v>18.767459874786567</v>
      </c>
      <c r="X39" s="38"/>
      <c r="Y39" s="38"/>
      <c r="Z39" s="38"/>
      <c r="AA39" s="38"/>
      <c r="AB39" s="39"/>
      <c r="AC39" s="38"/>
      <c r="AD39" s="38"/>
      <c r="AE39" s="38"/>
      <c r="AF39" s="38"/>
      <c r="AG39" s="39"/>
      <c r="AH39" s="38"/>
      <c r="AI39" s="38"/>
      <c r="AJ39" s="38"/>
      <c r="AK39" s="38"/>
      <c r="AL39" s="39"/>
      <c r="AM39" s="44"/>
      <c r="AN39" s="39"/>
      <c r="AO39" s="37"/>
      <c r="AP39" s="37"/>
    </row>
    <row r="40" spans="1:42">
      <c r="A40" s="132">
        <v>11</v>
      </c>
      <c r="B40" s="133">
        <v>81</v>
      </c>
      <c r="C40" s="126">
        <v>5</v>
      </c>
      <c r="D40" s="126" t="s">
        <v>205</v>
      </c>
      <c r="E40" s="126">
        <v>2530651</v>
      </c>
      <c r="F40" s="126" t="s">
        <v>206</v>
      </c>
      <c r="G40" s="126" t="s">
        <v>207</v>
      </c>
      <c r="H40" s="126" t="s">
        <v>243</v>
      </c>
      <c r="I40" s="127" t="s">
        <v>126</v>
      </c>
      <c r="J40" s="130">
        <v>3.3</v>
      </c>
      <c r="K40" s="131">
        <v>3.6</v>
      </c>
      <c r="L40" s="131">
        <v>3.1</v>
      </c>
      <c r="M40" s="131">
        <v>2.4</v>
      </c>
      <c r="N40" s="131">
        <v>1</v>
      </c>
      <c r="O40" s="129">
        <v>2.5</v>
      </c>
      <c r="P40" s="129">
        <v>0.6</v>
      </c>
      <c r="Q40" s="129" t="s">
        <v>284</v>
      </c>
      <c r="R40" s="129" t="s">
        <v>286</v>
      </c>
      <c r="S40" s="129">
        <v>19.29</v>
      </c>
      <c r="T40" s="145">
        <f t="shared" si="3"/>
        <v>10</v>
      </c>
      <c r="U40" s="145">
        <f>IF((VLOOKUP(Q40,MogulsDD!$A$1:$C$1000,3,FALSE)*(M40+O40)/2)&gt;3.75,3.75,VLOOKUP(Q40,MogulsDD!$A$1:$C$1000,3,FALSE)*(M40+O40)/2)+IF((VLOOKUP(R40,MogulsDD!$A$1:$C$1000,3,FALSE)*(N40+P40)/2)&gt;3.75,3.75,VLOOKUP(R40,MogulsDD!$A$1:$C$1000,3,FALSE)*(N40+P40)/2)</f>
        <v>3.4445000000000006</v>
      </c>
      <c r="V40" s="145">
        <f t="shared" si="5"/>
        <v>4.8252703471826983</v>
      </c>
      <c r="W40" s="146">
        <v>18.2697703471827</v>
      </c>
      <c r="X40" s="38"/>
      <c r="Y40" s="38"/>
      <c r="Z40" s="38"/>
      <c r="AA40" s="38"/>
      <c r="AB40" s="39"/>
      <c r="AC40" s="38"/>
      <c r="AD40" s="38"/>
      <c r="AE40" s="38"/>
      <c r="AF40" s="38"/>
      <c r="AG40" s="39"/>
      <c r="AH40" s="38"/>
      <c r="AI40" s="38"/>
      <c r="AJ40" s="38"/>
      <c r="AK40" s="38"/>
      <c r="AL40" s="39"/>
      <c r="AM40" s="44"/>
      <c r="AN40" s="39"/>
      <c r="AO40" s="37"/>
      <c r="AP40" s="37"/>
    </row>
    <row r="41" spans="1:42" ht="13.8" thickBot="1">
      <c r="A41" s="132">
        <v>12</v>
      </c>
      <c r="B41" s="134">
        <v>104</v>
      </c>
      <c r="C41" s="126">
        <v>17</v>
      </c>
      <c r="D41" s="135" t="s">
        <v>112</v>
      </c>
      <c r="E41" s="126">
        <v>2530279</v>
      </c>
      <c r="F41" s="135" t="s">
        <v>113</v>
      </c>
      <c r="G41" s="135" t="s">
        <v>122</v>
      </c>
      <c r="H41" s="135" t="s">
        <v>114</v>
      </c>
      <c r="I41" s="136" t="s">
        <v>115</v>
      </c>
      <c r="J41" s="137">
        <v>0.1</v>
      </c>
      <c r="K41" s="138">
        <v>0.1</v>
      </c>
      <c r="L41" s="138">
        <v>0.1</v>
      </c>
      <c r="M41" s="138">
        <v>0.1</v>
      </c>
      <c r="N41" s="138">
        <v>0.1</v>
      </c>
      <c r="O41" s="138">
        <v>0.1</v>
      </c>
      <c r="P41" s="138">
        <v>0.1</v>
      </c>
      <c r="Q41" s="129" t="s">
        <v>61</v>
      </c>
      <c r="R41" s="129" t="s">
        <v>286</v>
      </c>
      <c r="S41" s="129">
        <v>29.4</v>
      </c>
      <c r="T41" s="145">
        <f t="shared" si="3"/>
        <v>0.30000000000000004</v>
      </c>
      <c r="U41" s="145">
        <f>IF((VLOOKUP(Q41,MogulsDD!$A$1:$C$1000,3,FALSE)*(M41+O41)/2)&gt;3.75,3.75,VLOOKUP(Q41,MogulsDD!$A$1:$C$1000,3,FALSE)*(M41+O41)/2)+IF((VLOOKUP(R41,MogulsDD!$A$1:$C$1000,3,FALSE)*(N41+P41)/2)&gt;3.75,3.75,VLOOKUP(R41,MogulsDD!$A$1:$C$1000,3,FALSE)*(N41+P41)/2)</f>
        <v>0.21400000000000002</v>
      </c>
      <c r="V41" s="145">
        <f t="shared" si="5"/>
        <v>0</v>
      </c>
      <c r="W41" s="146">
        <v>0.51400000000000001</v>
      </c>
      <c r="X41" s="38"/>
      <c r="Y41" s="38"/>
      <c r="Z41" s="38"/>
      <c r="AA41" s="38"/>
      <c r="AB41" s="39"/>
      <c r="AC41" s="38"/>
      <c r="AD41" s="38"/>
      <c r="AE41" s="38"/>
      <c r="AF41" s="38"/>
      <c r="AG41" s="39"/>
      <c r="AH41" s="38"/>
      <c r="AI41" s="38"/>
      <c r="AJ41" s="38"/>
      <c r="AK41" s="38"/>
      <c r="AL41" s="39"/>
      <c r="AM41" s="44"/>
      <c r="AN41" s="39"/>
      <c r="AO41" s="37"/>
      <c r="AP41" s="37"/>
    </row>
    <row r="42" spans="1:42">
      <c r="A42" s="112">
        <v>13</v>
      </c>
      <c r="B42" s="119">
        <v>109</v>
      </c>
      <c r="C42" s="113">
        <v>18</v>
      </c>
      <c r="D42" s="120" t="s">
        <v>199</v>
      </c>
      <c r="E42" s="113">
        <v>2528447</v>
      </c>
      <c r="F42" s="120" t="s">
        <v>200</v>
      </c>
      <c r="G42" s="120" t="s">
        <v>122</v>
      </c>
      <c r="H42" s="120" t="s">
        <v>201</v>
      </c>
      <c r="I42" s="121" t="s">
        <v>202</v>
      </c>
      <c r="J42" s="122">
        <v>2.5</v>
      </c>
      <c r="K42" s="123">
        <v>2.4</v>
      </c>
      <c r="L42" s="123">
        <v>2.4</v>
      </c>
      <c r="M42" s="123">
        <v>1.8</v>
      </c>
      <c r="N42" s="123">
        <v>1.3</v>
      </c>
      <c r="O42" s="123">
        <v>2.1</v>
      </c>
      <c r="P42" s="123">
        <v>1.5</v>
      </c>
      <c r="Q42" s="118" t="s">
        <v>284</v>
      </c>
      <c r="R42" s="118" t="s">
        <v>27</v>
      </c>
      <c r="S42" s="118">
        <v>21.01</v>
      </c>
      <c r="T42" s="147">
        <f t="shared" si="3"/>
        <v>7.3000000000000007</v>
      </c>
      <c r="U42" s="147">
        <f>IF((VLOOKUP(Q42,MogulsDD!$A$1:$C$1000,3,FALSE)*(M42+O42)/2)&gt;3.75,3.75,VLOOKUP(Q42,MogulsDD!$A$1:$C$1000,3,FALSE)*(M42+O42)/2)+IF((VLOOKUP(R42,MogulsDD!$A$1:$C$1000,3,FALSE)*(N42+P42)/2)&gt;3.75,3.75,VLOOKUP(R42,MogulsDD!$A$1:$C$1000,3,FALSE)*(N42+P42)/2)</f>
        <v>3.5175000000000001</v>
      </c>
      <c r="V42" s="147">
        <f t="shared" si="5"/>
        <v>3.6505406943653949</v>
      </c>
      <c r="W42" s="148">
        <v>14.468040694365396</v>
      </c>
      <c r="X42" s="38"/>
      <c r="Y42" s="38"/>
      <c r="Z42" s="38"/>
      <c r="AA42" s="38"/>
      <c r="AB42" s="39"/>
      <c r="AC42" s="38"/>
      <c r="AD42" s="38"/>
      <c r="AE42" s="38"/>
      <c r="AF42" s="38"/>
      <c r="AG42" s="39"/>
      <c r="AH42" s="38"/>
      <c r="AI42" s="38"/>
      <c r="AJ42" s="38"/>
      <c r="AK42" s="38"/>
      <c r="AL42" s="39"/>
      <c r="AM42" s="44"/>
      <c r="AN42" s="39"/>
      <c r="AO42" s="37"/>
      <c r="AP42" s="37"/>
    </row>
    <row r="43" spans="1:42">
      <c r="A43" s="112">
        <v>14</v>
      </c>
      <c r="B43" s="124">
        <v>17</v>
      </c>
      <c r="C43" s="113">
        <v>10</v>
      </c>
      <c r="D43" s="113" t="s">
        <v>166</v>
      </c>
      <c r="E43" s="113"/>
      <c r="F43" s="113" t="s">
        <v>164</v>
      </c>
      <c r="G43" s="113" t="s">
        <v>209</v>
      </c>
      <c r="H43" s="113" t="s">
        <v>167</v>
      </c>
      <c r="I43" s="115" t="s">
        <v>133</v>
      </c>
      <c r="J43" s="125">
        <v>2.9</v>
      </c>
      <c r="K43" s="117">
        <v>2.8</v>
      </c>
      <c r="L43" s="117">
        <v>2.7</v>
      </c>
      <c r="M43" s="117">
        <v>1.8</v>
      </c>
      <c r="N43" s="117">
        <v>0</v>
      </c>
      <c r="O43" s="118">
        <v>1.9</v>
      </c>
      <c r="P43" s="118">
        <v>0</v>
      </c>
      <c r="Q43" s="118" t="s">
        <v>279</v>
      </c>
      <c r="R43" s="118" t="s">
        <v>281</v>
      </c>
      <c r="S43" s="118">
        <v>20.57</v>
      </c>
      <c r="T43" s="147">
        <f t="shared" si="3"/>
        <v>8.3999999999999986</v>
      </c>
      <c r="U43" s="147">
        <f>IF((VLOOKUP(Q43,MogulsDD!$A$1:$C$1000,3,FALSE)*(M43+O43)/2)&gt;3.75,3.75,VLOOKUP(Q43,MogulsDD!$A$1:$C$1000,3,FALSE)*(M43+O43)/2)+IF((VLOOKUP(R43,MogulsDD!$A$1:$C$1000,3,FALSE)*(N43+P43)/2)&gt;3.75,3.75,VLOOKUP(R43,MogulsDD!$A$1:$C$1000,3,FALSE)*(N43+P43)/2)</f>
        <v>1.1285000000000001</v>
      </c>
      <c r="V43" s="147">
        <f t="shared" si="5"/>
        <v>3.9510529311326117</v>
      </c>
      <c r="W43" s="148">
        <v>13.479552931132611</v>
      </c>
      <c r="X43" s="38"/>
      <c r="Y43" s="38"/>
      <c r="Z43" s="38"/>
      <c r="AA43" s="38"/>
      <c r="AB43" s="39"/>
      <c r="AC43" s="38"/>
      <c r="AD43" s="38"/>
      <c r="AE43" s="38"/>
      <c r="AF43" s="38"/>
      <c r="AG43" s="39"/>
      <c r="AH43" s="38"/>
      <c r="AI43" s="38"/>
      <c r="AJ43" s="38"/>
      <c r="AK43" s="38"/>
      <c r="AL43" s="39"/>
      <c r="AM43" s="44"/>
      <c r="AN43" s="39"/>
      <c r="AO43" s="37"/>
      <c r="AP43" s="37"/>
    </row>
    <row r="44" spans="1:42">
      <c r="A44" s="112">
        <v>15</v>
      </c>
      <c r="B44" s="124">
        <v>25</v>
      </c>
      <c r="C44" s="113">
        <v>16</v>
      </c>
      <c r="D44" s="113" t="s">
        <v>130</v>
      </c>
      <c r="E44" s="113"/>
      <c r="F44" s="113" t="s">
        <v>131</v>
      </c>
      <c r="G44" s="113" t="s">
        <v>122</v>
      </c>
      <c r="H44" s="113" t="s">
        <v>132</v>
      </c>
      <c r="I44" s="115" t="s">
        <v>133</v>
      </c>
      <c r="J44" s="125">
        <v>2.6</v>
      </c>
      <c r="K44" s="117">
        <v>2.8</v>
      </c>
      <c r="L44" s="117">
        <v>2.9</v>
      </c>
      <c r="M44" s="117">
        <v>1.4</v>
      </c>
      <c r="N44" s="117">
        <v>1.4</v>
      </c>
      <c r="O44" s="118">
        <v>1.5</v>
      </c>
      <c r="P44" s="118">
        <v>1.5</v>
      </c>
      <c r="Q44" s="118" t="s">
        <v>276</v>
      </c>
      <c r="R44" s="118" t="s">
        <v>61</v>
      </c>
      <c r="S44" s="118">
        <v>23.57</v>
      </c>
      <c r="T44" s="147">
        <f t="shared" si="3"/>
        <v>8.3000000000000007</v>
      </c>
      <c r="U44" s="147">
        <f>IF((VLOOKUP(Q44,MogulsDD!$A$1:$C$1000,3,FALSE)*(M44+O44)/2)&gt;3.75,3.75,VLOOKUP(Q44,MogulsDD!$A$1:$C$1000,3,FALSE)*(M44+O44)/2)+IF((VLOOKUP(R44,MogulsDD!$A$1:$C$1000,3,FALSE)*(N44+P44)/2)&gt;3.75,3.75,VLOOKUP(R44,MogulsDD!$A$1:$C$1000,3,FALSE)*(N44+P44)/2)</f>
        <v>3.0449999999999999</v>
      </c>
      <c r="V44" s="147">
        <f t="shared" si="5"/>
        <v>1.9021058622652234</v>
      </c>
      <c r="W44" s="148">
        <v>13.247105862265226</v>
      </c>
      <c r="X44" s="38"/>
      <c r="Y44" s="38"/>
      <c r="Z44" s="38"/>
      <c r="AA44" s="38"/>
      <c r="AB44" s="39"/>
      <c r="AC44" s="38"/>
      <c r="AD44" s="38"/>
      <c r="AE44" s="38"/>
      <c r="AF44" s="38"/>
      <c r="AG44" s="39"/>
      <c r="AH44" s="38"/>
      <c r="AI44" s="38"/>
      <c r="AJ44" s="38"/>
      <c r="AK44" s="38"/>
      <c r="AL44" s="39"/>
      <c r="AM44" s="44"/>
      <c r="AN44" s="39"/>
      <c r="AO44" s="37"/>
      <c r="AP44" s="37"/>
    </row>
    <row r="45" spans="1:42">
      <c r="A45" s="112">
        <v>16</v>
      </c>
      <c r="B45" s="124">
        <v>36</v>
      </c>
      <c r="C45" s="113">
        <v>12</v>
      </c>
      <c r="D45" s="113" t="s">
        <v>188</v>
      </c>
      <c r="E45" s="113"/>
      <c r="F45" s="113" t="s">
        <v>189</v>
      </c>
      <c r="G45" s="113" t="s">
        <v>122</v>
      </c>
      <c r="H45" s="113" t="s">
        <v>190</v>
      </c>
      <c r="I45" s="115" t="s">
        <v>121</v>
      </c>
      <c r="J45" s="125">
        <v>1.8</v>
      </c>
      <c r="K45" s="117">
        <v>1.8</v>
      </c>
      <c r="L45" s="117">
        <v>2.1</v>
      </c>
      <c r="M45" s="117">
        <v>1.3</v>
      </c>
      <c r="N45" s="117">
        <v>0.9</v>
      </c>
      <c r="O45" s="118">
        <v>1.5</v>
      </c>
      <c r="P45" s="118">
        <v>0.9</v>
      </c>
      <c r="Q45" s="118" t="s">
        <v>276</v>
      </c>
      <c r="R45" s="118" t="s">
        <v>286</v>
      </c>
      <c r="S45" s="118">
        <v>21.2</v>
      </c>
      <c r="T45" s="147">
        <f t="shared" si="3"/>
        <v>5.7</v>
      </c>
      <c r="U45" s="147">
        <f>IF((VLOOKUP(Q45,MogulsDD!$A$1:$C$1000,3,FALSE)*(M45+O45)/2)&gt;3.75,3.75,VLOOKUP(Q45,MogulsDD!$A$1:$C$1000,3,FALSE)*(M45+O45)/2)+IF((VLOOKUP(R45,MogulsDD!$A$1:$C$1000,3,FALSE)*(N45+P45)/2)&gt;3.75,3.75,VLOOKUP(R45,MogulsDD!$A$1:$C$1000,3,FALSE)*(N45+P45)/2)</f>
        <v>2.4510000000000001</v>
      </c>
      <c r="V45" s="147">
        <f t="shared" si="5"/>
        <v>3.5207740466704625</v>
      </c>
      <c r="W45" s="148">
        <v>11.671774046670462</v>
      </c>
      <c r="X45" s="38"/>
      <c r="Y45" s="38"/>
      <c r="Z45" s="38"/>
      <c r="AA45" s="38"/>
      <c r="AB45" s="39"/>
      <c r="AC45" s="38"/>
      <c r="AD45" s="38"/>
      <c r="AE45" s="38"/>
      <c r="AF45" s="38"/>
      <c r="AG45" s="39"/>
      <c r="AH45" s="38"/>
      <c r="AI45" s="38"/>
      <c r="AJ45" s="38"/>
      <c r="AK45" s="38"/>
      <c r="AL45" s="39"/>
      <c r="AM45" s="44"/>
      <c r="AN45" s="39"/>
      <c r="AO45" s="37"/>
      <c r="AP45" s="37"/>
    </row>
    <row r="46" spans="1:42">
      <c r="A46" s="112">
        <v>17</v>
      </c>
      <c r="B46" s="124">
        <v>29</v>
      </c>
      <c r="C46" s="113">
        <v>2</v>
      </c>
      <c r="D46" s="113" t="s">
        <v>116</v>
      </c>
      <c r="E46" s="113"/>
      <c r="F46" s="113"/>
      <c r="G46" s="113" t="s">
        <v>122</v>
      </c>
      <c r="H46" s="113" t="s">
        <v>117</v>
      </c>
      <c r="I46" s="115" t="s">
        <v>103</v>
      </c>
      <c r="J46" s="125">
        <v>2.8</v>
      </c>
      <c r="K46" s="117">
        <v>2.4</v>
      </c>
      <c r="L46" s="117">
        <v>2.4</v>
      </c>
      <c r="M46" s="117">
        <v>1.7</v>
      </c>
      <c r="N46" s="117">
        <v>0</v>
      </c>
      <c r="O46" s="118">
        <v>1.5</v>
      </c>
      <c r="P46" s="118">
        <v>0</v>
      </c>
      <c r="Q46" s="118" t="s">
        <v>280</v>
      </c>
      <c r="R46" s="118" t="s">
        <v>279</v>
      </c>
      <c r="S46" s="118">
        <v>22.69</v>
      </c>
      <c r="T46" s="147">
        <f t="shared" si="3"/>
        <v>7.6</v>
      </c>
      <c r="U46" s="147">
        <f>IF((VLOOKUP(Q46,MogulsDD!$A$1:$C$1000,3,FALSE)*(M46+O46)/2)&gt;3.75,3.75,VLOOKUP(Q46,MogulsDD!$A$1:$C$1000,3,FALSE)*(M46+O46)/2)+IF((VLOOKUP(R46,MogulsDD!$A$1:$C$1000,3,FALSE)*(N46+P46)/2)&gt;3.75,3.75,VLOOKUP(R46,MogulsDD!$A$1:$C$1000,3,FALSE)*(N46+P46)/2)</f>
        <v>0.91200000000000014</v>
      </c>
      <c r="V46" s="147">
        <f t="shared" si="5"/>
        <v>2.503130335799657</v>
      </c>
      <c r="W46" s="148">
        <v>11.015130335799658</v>
      </c>
      <c r="X46" s="38"/>
      <c r="Y46" s="38"/>
      <c r="Z46" s="38"/>
      <c r="AA46" s="38"/>
      <c r="AB46" s="39"/>
      <c r="AC46" s="38"/>
      <c r="AD46" s="38"/>
      <c r="AE46" s="38"/>
      <c r="AF46" s="38"/>
      <c r="AG46" s="39"/>
      <c r="AH46" s="38"/>
      <c r="AI46" s="38"/>
      <c r="AJ46" s="38"/>
      <c r="AK46" s="38"/>
      <c r="AL46" s="39"/>
      <c r="AM46" s="44"/>
      <c r="AN46" s="39"/>
      <c r="AO46" s="37"/>
      <c r="AP46" s="37"/>
    </row>
    <row r="47" spans="1:42">
      <c r="A47" s="112">
        <v>18</v>
      </c>
      <c r="B47" s="124">
        <v>84</v>
      </c>
      <c r="C47" s="113">
        <v>19</v>
      </c>
      <c r="D47" s="113" t="s">
        <v>194</v>
      </c>
      <c r="E47" s="113"/>
      <c r="F47" s="113" t="s">
        <v>192</v>
      </c>
      <c r="G47" s="113" t="s">
        <v>122</v>
      </c>
      <c r="H47" s="113" t="s">
        <v>195</v>
      </c>
      <c r="I47" s="115" t="s">
        <v>196</v>
      </c>
      <c r="J47" s="125">
        <v>2</v>
      </c>
      <c r="K47" s="117">
        <v>1.9</v>
      </c>
      <c r="L47" s="117">
        <v>1.8</v>
      </c>
      <c r="M47" s="117">
        <v>0.7</v>
      </c>
      <c r="N47" s="117">
        <v>1.5</v>
      </c>
      <c r="O47" s="118">
        <v>1</v>
      </c>
      <c r="P47" s="118">
        <v>1.2</v>
      </c>
      <c r="Q47" s="118" t="s">
        <v>273</v>
      </c>
      <c r="R47" s="118" t="s">
        <v>279</v>
      </c>
      <c r="S47" s="118">
        <v>23.35</v>
      </c>
      <c r="T47" s="147">
        <f t="shared" si="3"/>
        <v>5.7</v>
      </c>
      <c r="U47" s="147">
        <f>IF((VLOOKUP(Q47,MogulsDD!$A$1:$C$1000,3,FALSE)*(M47+O47)/2)&gt;3.75,3.75,VLOOKUP(Q47,MogulsDD!$A$1:$C$1000,3,FALSE)*(M47+O47)/2)+IF((VLOOKUP(R47,MogulsDD!$A$1:$C$1000,3,FALSE)*(N47+P47)/2)&gt;3.75,3.75,VLOOKUP(R47,MogulsDD!$A$1:$C$1000,3,FALSE)*(N47+P47)/2)</f>
        <v>1.4609999999999999</v>
      </c>
      <c r="V47" s="147">
        <f t="shared" si="5"/>
        <v>2.0523619806488309</v>
      </c>
      <c r="W47" s="148">
        <v>9.2133619806488305</v>
      </c>
      <c r="X47" s="38"/>
      <c r="Y47" s="38"/>
      <c r="Z47" s="38"/>
      <c r="AA47" s="38"/>
      <c r="AB47" s="39"/>
      <c r="AC47" s="38"/>
      <c r="AD47" s="38"/>
      <c r="AE47" s="38"/>
      <c r="AF47" s="38"/>
      <c r="AG47" s="39"/>
      <c r="AH47" s="38"/>
      <c r="AI47" s="38"/>
      <c r="AJ47" s="38"/>
      <c r="AK47" s="38"/>
      <c r="AL47" s="39"/>
      <c r="AM47" s="44"/>
      <c r="AN47" s="39"/>
      <c r="AO47" s="37"/>
      <c r="AP47" s="37"/>
    </row>
    <row r="48" spans="1:42">
      <c r="A48" s="112">
        <v>19</v>
      </c>
      <c r="B48" s="124">
        <v>20</v>
      </c>
      <c r="C48" s="113">
        <v>1</v>
      </c>
      <c r="D48" s="113" t="s">
        <v>107</v>
      </c>
      <c r="E48" s="113"/>
      <c r="F48" s="113" t="s">
        <v>108</v>
      </c>
      <c r="G48" s="113" t="s">
        <v>122</v>
      </c>
      <c r="H48" s="113" t="s">
        <v>109</v>
      </c>
      <c r="I48" s="115" t="s">
        <v>103</v>
      </c>
      <c r="J48" s="125">
        <v>2.2999999999999998</v>
      </c>
      <c r="K48" s="117">
        <v>2.5</v>
      </c>
      <c r="L48" s="117">
        <v>2.4</v>
      </c>
      <c r="M48" s="117">
        <v>0</v>
      </c>
      <c r="N48" s="117">
        <v>0.7</v>
      </c>
      <c r="O48" s="118">
        <v>0</v>
      </c>
      <c r="P48" s="118">
        <v>0.7</v>
      </c>
      <c r="Q48" s="118" t="s">
        <v>281</v>
      </c>
      <c r="R48" s="118" t="s">
        <v>282</v>
      </c>
      <c r="S48" s="118">
        <v>24.17</v>
      </c>
      <c r="T48" s="147">
        <f t="shared" si="3"/>
        <v>7.1999999999999993</v>
      </c>
      <c r="U48" s="147">
        <f>IF((VLOOKUP(Q48,MogulsDD!$A$1:$C$1000,3,FALSE)*(M48+O48)/2)&gt;3.75,3.75,VLOOKUP(Q48,MogulsDD!$A$1:$C$1000,3,FALSE)*(M48+O48)/2)+IF((VLOOKUP(R48,MogulsDD!$A$1:$C$1000,3,FALSE)*(N48+P48)/2)&gt;3.75,3.75,VLOOKUP(R48,MogulsDD!$A$1:$C$1000,3,FALSE)*(N48+P48)/2)</f>
        <v>0.434</v>
      </c>
      <c r="V48" s="147">
        <f t="shared" si="5"/>
        <v>1.4923164484917457</v>
      </c>
      <c r="W48" s="148">
        <v>9.1263164484917461</v>
      </c>
      <c r="X48" s="38"/>
      <c r="Y48" s="38"/>
      <c r="Z48" s="38"/>
      <c r="AA48" s="38"/>
      <c r="AB48" s="39"/>
      <c r="AC48" s="38"/>
      <c r="AD48" s="38"/>
      <c r="AE48" s="38"/>
      <c r="AF48" s="38"/>
      <c r="AG48" s="39"/>
      <c r="AH48" s="38"/>
      <c r="AI48" s="38"/>
      <c r="AJ48" s="38"/>
      <c r="AK48" s="38"/>
      <c r="AL48" s="39"/>
      <c r="AM48" s="44"/>
      <c r="AN48" s="39"/>
      <c r="AO48" s="37"/>
      <c r="AP48" s="37"/>
    </row>
    <row r="49" spans="1:42">
      <c r="A49" s="112">
        <v>20</v>
      </c>
      <c r="B49" s="124">
        <v>2</v>
      </c>
      <c r="C49" s="113">
        <v>8</v>
      </c>
      <c r="D49" s="113" t="s">
        <v>191</v>
      </c>
      <c r="E49" s="113"/>
      <c r="F49" s="113" t="s">
        <v>192</v>
      </c>
      <c r="G49" s="113" t="s">
        <v>122</v>
      </c>
      <c r="H49" s="113" t="s">
        <v>193</v>
      </c>
      <c r="I49" s="115" t="s">
        <v>137</v>
      </c>
      <c r="J49" s="125">
        <v>1.5</v>
      </c>
      <c r="K49" s="117">
        <v>1.6</v>
      </c>
      <c r="L49" s="117">
        <v>1.7</v>
      </c>
      <c r="M49" s="117">
        <v>1.1000000000000001</v>
      </c>
      <c r="N49" s="117">
        <v>0.4</v>
      </c>
      <c r="O49" s="118">
        <v>1</v>
      </c>
      <c r="P49" s="118">
        <v>0.6</v>
      </c>
      <c r="Q49" s="118" t="s">
        <v>279</v>
      </c>
      <c r="R49" s="118" t="s">
        <v>61</v>
      </c>
      <c r="S49" s="118">
        <v>22.84</v>
      </c>
      <c r="T49" s="147">
        <f t="shared" si="3"/>
        <v>4.8</v>
      </c>
      <c r="U49" s="147">
        <f>IF((VLOOKUP(Q49,MogulsDD!$A$1:$C$1000,3,FALSE)*(M49+O49)/2)&gt;3.75,3.75,VLOOKUP(Q49,MogulsDD!$A$1:$C$1000,3,FALSE)*(M49+O49)/2)+IF((VLOOKUP(R49,MogulsDD!$A$1:$C$1000,3,FALSE)*(N49+P49)/2)&gt;3.75,3.75,VLOOKUP(R49,MogulsDD!$A$1:$C$1000,3,FALSE)*(N49+P49)/2)</f>
        <v>1.1655</v>
      </c>
      <c r="V49" s="147">
        <f t="shared" si="5"/>
        <v>2.4006829823562903</v>
      </c>
      <c r="W49" s="148">
        <v>8.3661829823562908</v>
      </c>
      <c r="X49" s="38"/>
      <c r="Y49" s="38"/>
      <c r="Z49" s="38"/>
      <c r="AA49" s="38"/>
      <c r="AB49" s="39"/>
      <c r="AC49" s="38"/>
      <c r="AD49" s="38"/>
      <c r="AE49" s="38"/>
      <c r="AF49" s="38"/>
      <c r="AG49" s="39"/>
      <c r="AH49" s="38"/>
      <c r="AI49" s="38"/>
      <c r="AJ49" s="38"/>
      <c r="AK49" s="38"/>
      <c r="AL49" s="39"/>
      <c r="AM49" s="44"/>
      <c r="AN49" s="39"/>
      <c r="AO49" s="37"/>
      <c r="AP49" s="37"/>
    </row>
    <row r="50" spans="1:42">
      <c r="A50" s="112">
        <v>21</v>
      </c>
      <c r="B50" s="124">
        <v>15</v>
      </c>
      <c r="C50" s="113">
        <v>15</v>
      </c>
      <c r="D50" s="113" t="s">
        <v>237</v>
      </c>
      <c r="E50" s="113"/>
      <c r="F50" s="113"/>
      <c r="G50" s="113" t="s">
        <v>240</v>
      </c>
      <c r="H50" s="113" t="s">
        <v>244</v>
      </c>
      <c r="I50" s="115"/>
      <c r="J50" s="125">
        <v>1.7</v>
      </c>
      <c r="K50" s="117">
        <v>1.9</v>
      </c>
      <c r="L50" s="117">
        <v>2</v>
      </c>
      <c r="M50" s="117">
        <v>1.8</v>
      </c>
      <c r="N50" s="117">
        <v>0</v>
      </c>
      <c r="O50" s="118">
        <v>1.6</v>
      </c>
      <c r="P50" s="118">
        <v>0</v>
      </c>
      <c r="Q50" s="118" t="s">
        <v>280</v>
      </c>
      <c r="R50" s="118" t="s">
        <v>274</v>
      </c>
      <c r="S50" s="118">
        <v>23.8</v>
      </c>
      <c r="T50" s="147">
        <f t="shared" si="3"/>
        <v>5.6</v>
      </c>
      <c r="U50" s="147">
        <f>IF((VLOOKUP(Q50,MogulsDD!$A$1:$C$1000,3,FALSE)*(M50+O50)/2)&gt;3.75,3.75,VLOOKUP(Q50,MogulsDD!$A$1:$C$1000,3,FALSE)*(M50+O50)/2)+IF((VLOOKUP(R50,MogulsDD!$A$1:$C$1000,3,FALSE)*(N50+P50)/2)&gt;3.75,3.75,VLOOKUP(R50,MogulsDD!$A$1:$C$1000,3,FALSE)*(N50+P50)/2)</f>
        <v>0.96900000000000019</v>
      </c>
      <c r="V50" s="147">
        <f t="shared" si="5"/>
        <v>1.7450199203187253</v>
      </c>
      <c r="W50" s="148">
        <v>8.3140199203187244</v>
      </c>
      <c r="X50" s="38"/>
      <c r="Y50" s="38"/>
      <c r="Z50" s="38"/>
      <c r="AA50" s="38"/>
      <c r="AB50" s="39"/>
      <c r="AC50" s="38"/>
      <c r="AD50" s="38"/>
      <c r="AE50" s="38"/>
      <c r="AF50" s="38"/>
      <c r="AG50" s="39"/>
      <c r="AH50" s="38"/>
      <c r="AI50" s="38"/>
      <c r="AJ50" s="38"/>
      <c r="AK50" s="38"/>
      <c r="AL50" s="39"/>
      <c r="AM50" s="44"/>
      <c r="AN50" s="39"/>
      <c r="AO50" s="37"/>
      <c r="AP50" s="37"/>
    </row>
    <row r="51" spans="1:42">
      <c r="A51" s="112">
        <v>22</v>
      </c>
      <c r="B51" s="124">
        <v>14</v>
      </c>
      <c r="C51" s="113">
        <v>23</v>
      </c>
      <c r="D51" s="113" t="s">
        <v>269</v>
      </c>
      <c r="E51" s="113"/>
      <c r="F51" s="113"/>
      <c r="G51" s="113" t="s">
        <v>122</v>
      </c>
      <c r="H51" s="113" t="s">
        <v>268</v>
      </c>
      <c r="I51" s="115"/>
      <c r="J51" s="125">
        <v>2.6</v>
      </c>
      <c r="K51" s="117">
        <v>2.4</v>
      </c>
      <c r="L51" s="117">
        <v>2</v>
      </c>
      <c r="M51" s="117">
        <v>0</v>
      </c>
      <c r="N51" s="117">
        <v>0.9</v>
      </c>
      <c r="O51" s="118">
        <v>0</v>
      </c>
      <c r="P51" s="118">
        <v>0.5</v>
      </c>
      <c r="Q51" s="118" t="s">
        <v>282</v>
      </c>
      <c r="R51" s="118" t="s">
        <v>279</v>
      </c>
      <c r="S51" s="118">
        <v>25.12</v>
      </c>
      <c r="T51" s="147">
        <f t="shared" si="3"/>
        <v>7</v>
      </c>
      <c r="U51" s="147">
        <f>IF((VLOOKUP(Q51,MogulsDD!$A$1:$C$1000,3,FALSE)*(M51+O51)/2)&gt;3.75,3.75,VLOOKUP(Q51,MogulsDD!$A$1:$C$1000,3,FALSE)*(M51+O51)/2)+IF((VLOOKUP(R51,MogulsDD!$A$1:$C$1000,3,FALSE)*(N51+P51)/2)&gt;3.75,3.75,VLOOKUP(R51,MogulsDD!$A$1:$C$1000,3,FALSE)*(N51+P51)/2)</f>
        <v>0.42699999999999999</v>
      </c>
      <c r="V51" s="147">
        <f t="shared" si="5"/>
        <v>0.8434832100170766</v>
      </c>
      <c r="W51" s="148">
        <v>8.2704832100170762</v>
      </c>
      <c r="X51" s="38"/>
      <c r="Y51" s="38"/>
      <c r="Z51" s="38"/>
      <c r="AA51" s="38"/>
      <c r="AB51" s="39"/>
      <c r="AC51" s="38"/>
      <c r="AD51" s="38"/>
      <c r="AE51" s="38"/>
      <c r="AF51" s="38"/>
      <c r="AG51" s="39"/>
      <c r="AH51" s="38"/>
      <c r="AI51" s="38"/>
      <c r="AJ51" s="38"/>
      <c r="AK51" s="38"/>
      <c r="AL51" s="39"/>
      <c r="AM51" s="44"/>
      <c r="AN51" s="39"/>
      <c r="AO51" s="37"/>
      <c r="AP51" s="37"/>
    </row>
    <row r="52" spans="1:42">
      <c r="A52" s="112">
        <v>23</v>
      </c>
      <c r="B52" s="124">
        <v>43</v>
      </c>
      <c r="C52" s="113">
        <v>21</v>
      </c>
      <c r="D52" s="113" t="s">
        <v>163</v>
      </c>
      <c r="E52" s="113"/>
      <c r="F52" s="113" t="s">
        <v>164</v>
      </c>
      <c r="G52" s="113" t="s">
        <v>209</v>
      </c>
      <c r="H52" s="113" t="s">
        <v>165</v>
      </c>
      <c r="I52" s="115" t="s">
        <v>103</v>
      </c>
      <c r="J52" s="125">
        <v>0.9</v>
      </c>
      <c r="K52" s="117">
        <v>0.9</v>
      </c>
      <c r="L52" s="117">
        <v>1.1000000000000001</v>
      </c>
      <c r="M52" s="117">
        <v>1.8</v>
      </c>
      <c r="N52" s="117">
        <v>0.4</v>
      </c>
      <c r="O52" s="118">
        <v>2</v>
      </c>
      <c r="P52" s="118">
        <v>0.1</v>
      </c>
      <c r="Q52" s="118" t="s">
        <v>279</v>
      </c>
      <c r="R52" s="118" t="s">
        <v>273</v>
      </c>
      <c r="S52" s="118">
        <v>24.52</v>
      </c>
      <c r="T52" s="147">
        <f t="shared" si="3"/>
        <v>2.9000000000000004</v>
      </c>
      <c r="U52" s="147">
        <f>IF((VLOOKUP(Q52,MogulsDD!$A$1:$C$1000,3,FALSE)*(M52+O52)/2)&gt;3.75,3.75,VLOOKUP(Q52,MogulsDD!$A$1:$C$1000,3,FALSE)*(M52+O52)/2)+IF((VLOOKUP(R52,MogulsDD!$A$1:$C$1000,3,FALSE)*(N52+P52)/2)&gt;3.75,3.75,VLOOKUP(R52,MogulsDD!$A$1:$C$1000,3,FALSE)*(N52+P52)/2)</f>
        <v>1.3465</v>
      </c>
      <c r="V52" s="147">
        <f t="shared" si="5"/>
        <v>1.2532726237905507</v>
      </c>
      <c r="W52" s="148">
        <v>5.4997726237905509</v>
      </c>
      <c r="X52" s="38"/>
      <c r="Y52" s="38"/>
      <c r="Z52" s="38"/>
      <c r="AA52" s="38"/>
      <c r="AB52" s="39"/>
      <c r="AC52" s="38"/>
      <c r="AD52" s="38"/>
      <c r="AE52" s="38"/>
      <c r="AF52" s="38"/>
      <c r="AG52" s="39"/>
      <c r="AH52" s="38"/>
      <c r="AI52" s="38"/>
      <c r="AJ52" s="38"/>
      <c r="AK52" s="38"/>
      <c r="AL52" s="39"/>
      <c r="AM52" s="44"/>
      <c r="AN52" s="39"/>
      <c r="AO52" s="37"/>
      <c r="AP52" s="37"/>
    </row>
    <row r="53" spans="1:42"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7"/>
      <c r="AP53" s="37"/>
    </row>
    <row r="54" spans="1:42"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7"/>
      <c r="AP54" s="37"/>
    </row>
    <row r="55" spans="1:42"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7"/>
      <c r="AP55" s="37"/>
    </row>
    <row r="56" spans="1:42"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7"/>
      <c r="AP56" s="37"/>
    </row>
    <row r="57" spans="1:42"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7"/>
      <c r="AP57" s="37"/>
    </row>
    <row r="58" spans="1:42"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7"/>
      <c r="AP58" s="37"/>
    </row>
    <row r="59" spans="1:42"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7"/>
      <c r="AP59" s="37"/>
    </row>
    <row r="60" spans="1:42"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7"/>
      <c r="AP60" s="37"/>
    </row>
    <row r="61" spans="1:42"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7"/>
      <c r="AP61" s="37"/>
    </row>
    <row r="62" spans="1:42"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7"/>
      <c r="AP62" s="37"/>
    </row>
    <row r="63" spans="1:42"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7"/>
      <c r="AP63" s="37"/>
    </row>
    <row r="64" spans="1:42"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7"/>
      <c r="AP64" s="37"/>
    </row>
    <row r="65" spans="24:42"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7"/>
      <c r="AP65" s="37"/>
    </row>
    <row r="66" spans="24:42"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7"/>
      <c r="AP66" s="37"/>
    </row>
    <row r="67" spans="24:42"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7"/>
      <c r="AP67" s="37"/>
    </row>
    <row r="68" spans="24:42"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7"/>
      <c r="AP68" s="37"/>
    </row>
    <row r="69" spans="24:42"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7"/>
      <c r="AP69" s="37"/>
    </row>
    <row r="70" spans="24:42"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7"/>
      <c r="AP70" s="37"/>
    </row>
    <row r="71" spans="24:42"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7"/>
      <c r="AP71" s="37"/>
    </row>
    <row r="72" spans="24:42"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7"/>
      <c r="AP72" s="37"/>
    </row>
    <row r="73" spans="24:42"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</row>
    <row r="74" spans="24:42"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</row>
    <row r="75" spans="24:42"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</row>
    <row r="76" spans="24:42"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</row>
    <row r="77" spans="24:42"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</row>
    <row r="78" spans="24:42"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</row>
    <row r="79" spans="24:42"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</row>
    <row r="80" spans="24:42"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</row>
    <row r="81" spans="24:42"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</row>
    <row r="82" spans="24:42"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</row>
    <row r="83" spans="24:42"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</row>
    <row r="84" spans="24:42"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</row>
    <row r="85" spans="24:42"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</row>
    <row r="86" spans="24:42"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</row>
    <row r="87" spans="24:42"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</row>
    <row r="88" spans="24:42"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</row>
    <row r="89" spans="24:42"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</row>
    <row r="90" spans="24:42"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</row>
    <row r="91" spans="24:42"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</row>
    <row r="92" spans="24:42"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</row>
    <row r="93" spans="24:42"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</row>
    <row r="94" spans="24:42"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</row>
  </sheetData>
  <sortState ref="B30:W35">
    <sortCondition descending="1" ref="W30:W35"/>
  </sortState>
  <mergeCells count="12">
    <mergeCell ref="A7:B7"/>
    <mergeCell ref="C7:F7"/>
    <mergeCell ref="A8:B8"/>
    <mergeCell ref="C8:F8"/>
    <mergeCell ref="A9:B9"/>
    <mergeCell ref="C9:F9"/>
    <mergeCell ref="A1:I1"/>
    <mergeCell ref="A2:I2"/>
    <mergeCell ref="A5:B5"/>
    <mergeCell ref="C5:F5"/>
    <mergeCell ref="A6:B6"/>
    <mergeCell ref="C6:F6"/>
  </mergeCells>
  <hyperlinks>
    <hyperlink ref="J2" r:id="rId1" display="http://data.fis-ski.com/dynamic/event-details.html?event_id=36203&amp;cal_suchsector=FS"/>
    <hyperlink ref="L2" r:id="rId2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P73"/>
  <sheetViews>
    <sheetView topLeftCell="B5" workbookViewId="0">
      <selection activeCell="R36" sqref="R36"/>
    </sheetView>
  </sheetViews>
  <sheetFormatPr defaultColWidth="11.44140625" defaultRowHeight="13.2"/>
  <cols>
    <col min="1" max="2" width="8.109375" customWidth="1"/>
    <col min="3" max="3" width="7.44140625" customWidth="1"/>
    <col min="4" max="4" width="22" customWidth="1"/>
    <col min="5" max="5" width="8.44140625" customWidth="1"/>
    <col min="6" max="6" width="11.109375" customWidth="1"/>
    <col min="8" max="8" width="16.6640625" bestFit="1" customWidth="1"/>
    <col min="9" max="9" width="16.5546875" bestFit="1" customWidth="1"/>
    <col min="23" max="23" width="7.33203125" customWidth="1"/>
  </cols>
  <sheetData>
    <row r="1" spans="1:42" ht="24.6">
      <c r="A1" s="159"/>
      <c r="B1" s="159"/>
      <c r="C1" s="159"/>
      <c r="D1" s="159"/>
      <c r="E1" s="159"/>
      <c r="F1" s="159"/>
      <c r="G1" s="159"/>
      <c r="H1" s="159"/>
      <c r="I1" s="15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2" ht="17.399999999999999">
      <c r="A2" s="160" t="s">
        <v>227</v>
      </c>
      <c r="B2" s="160"/>
      <c r="C2" s="160"/>
      <c r="D2" s="160"/>
      <c r="E2" s="160"/>
      <c r="F2" s="160"/>
      <c r="G2" s="160"/>
      <c r="H2" s="160"/>
      <c r="I2" s="160"/>
      <c r="J2" s="95" t="s">
        <v>198</v>
      </c>
      <c r="K2" s="1"/>
      <c r="L2" s="95" t="s">
        <v>197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42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42" ht="13.8" thickBot="1">
      <c r="A4" s="7"/>
      <c r="B4" s="1"/>
      <c r="C4" s="1"/>
      <c r="D4" s="1"/>
      <c r="E4" s="1"/>
      <c r="F4" s="1"/>
      <c r="G4" s="1"/>
      <c r="H4" s="1"/>
      <c r="I4" s="1"/>
      <c r="J4" s="1" t="s">
        <v>152</v>
      </c>
      <c r="K4" s="1" t="s">
        <v>151</v>
      </c>
      <c r="L4" s="1"/>
      <c r="M4" s="1" t="s">
        <v>11</v>
      </c>
      <c r="N4" s="1" t="s">
        <v>219</v>
      </c>
      <c r="O4" s="1"/>
      <c r="P4" s="1" t="s">
        <v>216</v>
      </c>
      <c r="Q4" s="1" t="s">
        <v>224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42">
      <c r="A5" s="161" t="s">
        <v>6</v>
      </c>
      <c r="B5" s="162"/>
      <c r="C5" s="163" t="s">
        <v>218</v>
      </c>
      <c r="D5" s="164"/>
      <c r="E5" s="164"/>
      <c r="F5" s="165"/>
      <c r="G5" s="1"/>
      <c r="H5" s="1"/>
      <c r="I5" s="36" t="s">
        <v>69</v>
      </c>
      <c r="J5" s="1">
        <v>17.57</v>
      </c>
      <c r="K5" s="1">
        <v>20.71</v>
      </c>
      <c r="L5" s="1"/>
      <c r="M5" s="1" t="s">
        <v>12</v>
      </c>
      <c r="N5" s="1" t="s">
        <v>220</v>
      </c>
      <c r="O5" s="1"/>
      <c r="P5" s="1" t="s">
        <v>217</v>
      </c>
      <c r="Q5" s="1" t="s">
        <v>222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42">
      <c r="A6" s="149" t="s">
        <v>7</v>
      </c>
      <c r="B6" s="150"/>
      <c r="C6" s="151" t="s">
        <v>230</v>
      </c>
      <c r="D6" s="152"/>
      <c r="E6" s="152"/>
      <c r="F6" s="153"/>
      <c r="G6" s="1"/>
      <c r="H6" s="1"/>
      <c r="I6" s="1"/>
      <c r="J6" s="1"/>
      <c r="K6" s="1"/>
      <c r="L6" s="1"/>
      <c r="M6" s="1" t="s">
        <v>15</v>
      </c>
      <c r="N6" s="1" t="s">
        <v>221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42">
      <c r="A7" s="149" t="s">
        <v>8</v>
      </c>
      <c r="B7" s="150"/>
      <c r="C7" s="151" t="s">
        <v>242</v>
      </c>
      <c r="D7" s="152"/>
      <c r="E7" s="152"/>
      <c r="F7" s="153"/>
      <c r="G7" s="1"/>
      <c r="H7" s="1"/>
      <c r="I7" s="101" t="s">
        <v>289</v>
      </c>
      <c r="J7" s="1"/>
      <c r="K7" s="1"/>
      <c r="L7" s="1"/>
      <c r="M7" s="1" t="s">
        <v>214</v>
      </c>
      <c r="N7" s="1" t="s">
        <v>222</v>
      </c>
      <c r="O7" s="1"/>
      <c r="P7" s="1" t="s">
        <v>225</v>
      </c>
      <c r="Q7" s="1" t="s">
        <v>226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42">
      <c r="A8" s="149" t="s">
        <v>9</v>
      </c>
      <c r="B8" s="150"/>
      <c r="C8" s="151" t="s">
        <v>104</v>
      </c>
      <c r="D8" s="152"/>
      <c r="E8" s="152"/>
      <c r="F8" s="153"/>
      <c r="G8" s="1"/>
      <c r="H8" s="1"/>
      <c r="I8" s="102" t="s">
        <v>290</v>
      </c>
      <c r="J8" s="1"/>
      <c r="K8" s="1"/>
      <c r="L8" s="1"/>
      <c r="M8" s="1" t="s">
        <v>215</v>
      </c>
      <c r="N8" s="1" t="s">
        <v>223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42" ht="13.8" thickBot="1">
      <c r="A9" s="154" t="s">
        <v>10</v>
      </c>
      <c r="B9" s="155"/>
      <c r="C9" s="156" t="s">
        <v>105</v>
      </c>
      <c r="D9" s="157"/>
      <c r="E9" s="157"/>
      <c r="F9" s="15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37"/>
      <c r="AO9" s="37"/>
      <c r="AP9" s="37"/>
    </row>
    <row r="10" spans="1:42" ht="13.8" thickBot="1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9"/>
      <c r="AO10" s="37"/>
      <c r="AP10" s="37"/>
    </row>
    <row r="11" spans="1:42" ht="13.8" thickBot="1">
      <c r="A11" s="8"/>
      <c r="B11" s="5"/>
      <c r="C11" s="5"/>
      <c r="D11" s="5"/>
      <c r="E11" s="20" t="s">
        <v>228</v>
      </c>
      <c r="F11" s="5"/>
      <c r="G11" s="5"/>
      <c r="H11" s="5"/>
      <c r="I11" s="6"/>
      <c r="J11" s="21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45"/>
      <c r="X11" s="38"/>
      <c r="Y11" s="38"/>
      <c r="Z11" s="38"/>
      <c r="AA11" s="38"/>
      <c r="AB11" s="38"/>
      <c r="AC11" s="38"/>
      <c r="AD11" s="38"/>
      <c r="AE11" s="38"/>
      <c r="AF11" s="38"/>
      <c r="AG11" s="40"/>
      <c r="AH11" s="38"/>
      <c r="AI11" s="38"/>
      <c r="AJ11" s="38"/>
      <c r="AK11" s="38"/>
      <c r="AL11" s="40"/>
      <c r="AM11" s="38"/>
      <c r="AN11" s="39"/>
      <c r="AO11" s="37"/>
      <c r="AP11" s="37"/>
    </row>
    <row r="12" spans="1:42" ht="13.8" thickBot="1">
      <c r="A12" s="2" t="s">
        <v>0</v>
      </c>
      <c r="B12" s="3" t="s">
        <v>1</v>
      </c>
      <c r="C12" s="3" t="s">
        <v>252</v>
      </c>
      <c r="D12" s="3" t="s">
        <v>111</v>
      </c>
      <c r="E12" s="3" t="s">
        <v>238</v>
      </c>
      <c r="F12" s="3" t="s">
        <v>16</v>
      </c>
      <c r="G12" s="3" t="s">
        <v>3</v>
      </c>
      <c r="H12" s="3" t="s">
        <v>4</v>
      </c>
      <c r="I12" s="4" t="s">
        <v>5</v>
      </c>
      <c r="J12" s="2" t="s">
        <v>11</v>
      </c>
      <c r="K12" s="3" t="s">
        <v>12</v>
      </c>
      <c r="L12" s="3" t="s">
        <v>13</v>
      </c>
      <c r="M12" s="3" t="s">
        <v>66</v>
      </c>
      <c r="N12" s="3" t="s">
        <v>65</v>
      </c>
      <c r="O12" s="3" t="s">
        <v>67</v>
      </c>
      <c r="P12" s="3" t="s">
        <v>68</v>
      </c>
      <c r="Q12" s="3" t="s">
        <v>59</v>
      </c>
      <c r="R12" s="3" t="s">
        <v>60</v>
      </c>
      <c r="S12" s="3" t="s">
        <v>22</v>
      </c>
      <c r="T12" s="3" t="s">
        <v>314</v>
      </c>
      <c r="U12" s="3" t="s">
        <v>315</v>
      </c>
      <c r="V12" s="3" t="s">
        <v>316</v>
      </c>
      <c r="W12" s="46" t="s">
        <v>14</v>
      </c>
      <c r="X12" s="41"/>
      <c r="Y12" s="41"/>
      <c r="Z12" s="41"/>
      <c r="AA12" s="41"/>
      <c r="AB12" s="42"/>
      <c r="AC12" s="41"/>
      <c r="AD12" s="41"/>
      <c r="AE12" s="41"/>
      <c r="AF12" s="41"/>
      <c r="AG12" s="42"/>
      <c r="AH12" s="41"/>
      <c r="AI12" s="41"/>
      <c r="AJ12" s="41"/>
      <c r="AK12" s="41"/>
      <c r="AL12" s="42"/>
      <c r="AM12" s="43"/>
      <c r="AN12" s="39"/>
      <c r="AO12" s="37"/>
      <c r="AP12" s="37"/>
    </row>
    <row r="13" spans="1:42">
      <c r="A13" s="19">
        <f>RANK(W13,$W$13:$W$16,0)</f>
        <v>1</v>
      </c>
      <c r="B13" s="22">
        <v>61</v>
      </c>
      <c r="C13" s="22"/>
      <c r="D13" s="22" t="s">
        <v>176</v>
      </c>
      <c r="E13" s="22">
        <v>2531087</v>
      </c>
      <c r="F13" s="22" t="s">
        <v>173</v>
      </c>
      <c r="G13" s="22" t="s">
        <v>239</v>
      </c>
      <c r="H13" s="22" t="s">
        <v>177</v>
      </c>
      <c r="I13" s="23" t="s">
        <v>178</v>
      </c>
      <c r="J13" s="24">
        <v>4</v>
      </c>
      <c r="K13" s="25">
        <v>4</v>
      </c>
      <c r="L13" s="25">
        <v>3.7</v>
      </c>
      <c r="M13" s="51">
        <v>1.4</v>
      </c>
      <c r="N13" s="51">
        <v>1.3</v>
      </c>
      <c r="O13" s="49">
        <v>1.7</v>
      </c>
      <c r="P13" s="49">
        <v>1.1000000000000001</v>
      </c>
      <c r="Q13" s="49" t="s">
        <v>275</v>
      </c>
      <c r="R13" s="49" t="s">
        <v>276</v>
      </c>
      <c r="S13" s="25">
        <v>19.82</v>
      </c>
      <c r="T13" s="143">
        <f t="shared" ref="T13:T18" si="0">(J13+K13+L13)</f>
        <v>11.7</v>
      </c>
      <c r="U13" s="143">
        <f>IF((VLOOKUP(Q13,MogulsDD!$A$1:$D$1000,4,FALSE)*(M13+O13)/2)&gt;3.75,3.75,VLOOKUP(Q13,MogulsDD!$A$1:$D$1000,4,FALSE)*(M13+O13)/2)+IF((VLOOKUP(R13,MogulsDD!$A$1:$D$1000,4,FALSE)*(N13+P13)/2)&gt;3.75,3.75,VLOOKUP(R13,MogulsDD!$A$1:$D$1000,4,FALSE)*(N13+P13)/2)</f>
        <v>2.8970000000000002</v>
      </c>
      <c r="V13" s="143">
        <f t="shared" ref="V13:V18" si="1">IF((18-12*S13/$K$5)&gt;7.5,7.5,IF((18-12*S13/$K$5)&lt;0,0,(18-12*S13/$K$5)))</f>
        <v>6.5156929019797207</v>
      </c>
      <c r="W13" s="144">
        <f>(J13+K13+L13)+IF((VLOOKUP(Q13,MogulsDD!$A$1:$D$1000,4,FALSE)*(M13+O13)/2)&gt;3.75,3.75,VLOOKUP(Q13,MogulsDD!$A$1:$D$1000,4,FALSE)*(M13+O13)/2)+IF((VLOOKUP(R13,MogulsDD!$A$1:$D$1000,4,FALSE)*(N13+P13)/2)&gt;3.75,3.75,VLOOKUP(R13,MogulsDD!$A$1:$D$1000,4,FALSE)*(N13+P13)/2)+IF((18-12*S13/$K$5)&gt;7.5,7.5,IF((18-12*S13/$K$5)&lt;0,0,(18-12*S13/$K$5)))</f>
        <v>21.11269290197972</v>
      </c>
      <c r="X13" s="38"/>
      <c r="Y13" s="38"/>
      <c r="Z13" s="38"/>
      <c r="AA13" s="38"/>
      <c r="AB13" s="39"/>
      <c r="AC13" s="38"/>
      <c r="AD13" s="38"/>
      <c r="AE13" s="38"/>
      <c r="AF13" s="38"/>
      <c r="AG13" s="39"/>
      <c r="AH13" s="38"/>
      <c r="AI13" s="38"/>
      <c r="AJ13" s="38"/>
      <c r="AK13" s="38"/>
      <c r="AL13" s="39"/>
      <c r="AM13" s="44"/>
      <c r="AN13" s="39"/>
      <c r="AO13" s="37"/>
      <c r="AP13" s="37"/>
    </row>
    <row r="14" spans="1:42">
      <c r="A14" s="19">
        <f>RANK(W14,$W$13:$W$16,0)</f>
        <v>2</v>
      </c>
      <c r="B14" s="22">
        <v>134</v>
      </c>
      <c r="C14" s="22"/>
      <c r="D14" s="22" t="s">
        <v>236</v>
      </c>
      <c r="E14" s="22">
        <v>2528719</v>
      </c>
      <c r="F14" s="22"/>
      <c r="G14" s="22" t="s">
        <v>240</v>
      </c>
      <c r="H14" s="22" t="s">
        <v>251</v>
      </c>
      <c r="I14" s="23"/>
      <c r="J14" s="27">
        <v>3.7</v>
      </c>
      <c r="K14" s="28">
        <v>3.7</v>
      </c>
      <c r="L14" s="28">
        <v>3.9</v>
      </c>
      <c r="M14" s="52">
        <v>1.5</v>
      </c>
      <c r="N14" s="52">
        <v>1.5</v>
      </c>
      <c r="O14" s="49">
        <v>1.3</v>
      </c>
      <c r="P14" s="49">
        <v>1.6</v>
      </c>
      <c r="Q14" s="49" t="s">
        <v>276</v>
      </c>
      <c r="R14" s="49" t="s">
        <v>61</v>
      </c>
      <c r="S14" s="25">
        <v>21.6</v>
      </c>
      <c r="T14" s="143">
        <f t="shared" si="0"/>
        <v>11.3</v>
      </c>
      <c r="U14" s="143">
        <f>IF((VLOOKUP(Q14,MogulsDD!$A$1:$D$1000,4,FALSE)*(M14+O14)/2)&gt;3.75,3.75,VLOOKUP(Q14,MogulsDD!$A$1:$D$1000,4,FALSE)*(M14+O14)/2)+IF((VLOOKUP(R14,MogulsDD!$A$1:$D$1000,4,FALSE)*(N14+P14)/2)&gt;3.75,3.75,VLOOKUP(R14,MogulsDD!$A$1:$D$1000,4,FALSE)*(N14+P14)/2)</f>
        <v>3.54</v>
      </c>
      <c r="V14" s="143">
        <f t="shared" si="1"/>
        <v>5.4843070980202775</v>
      </c>
      <c r="W14" s="144">
        <f>(J14+K14+L14)+IF((VLOOKUP(Q14,MogulsDD!$A$1:$D$1000,4,FALSE)*(M14+O14)/2)&gt;3.75,3.75,VLOOKUP(Q14,MogulsDD!$A$1:$D$1000,4,FALSE)*(M14+O14)/2)+IF((VLOOKUP(R14,MogulsDD!$A$1:$D$1000,4,FALSE)*(N14+P14)/2)&gt;3.75,3.75,VLOOKUP(R14,MogulsDD!$A$1:$D$1000,4,FALSE)*(N14+P14)/2)+IF((18-12*S14/$K$5)&gt;7.5,7.5,IF((18-12*S14/$K$5)&lt;0,0,(18-12*S14/$K$5)))</f>
        <v>20.324307098020277</v>
      </c>
      <c r="X14" s="38"/>
      <c r="Y14" s="38"/>
      <c r="Z14" s="38"/>
      <c r="AA14" s="38"/>
      <c r="AB14" s="39"/>
      <c r="AC14" s="38"/>
      <c r="AD14" s="38"/>
      <c r="AE14" s="38"/>
      <c r="AF14" s="38"/>
      <c r="AG14" s="39"/>
      <c r="AH14" s="38"/>
      <c r="AI14" s="38"/>
      <c r="AJ14" s="38"/>
      <c r="AK14" s="38"/>
      <c r="AL14" s="39"/>
      <c r="AM14" s="44"/>
      <c r="AN14" s="39"/>
      <c r="AO14" s="37"/>
      <c r="AP14" s="37"/>
    </row>
    <row r="15" spans="1:42">
      <c r="A15" s="19">
        <f>RANK(W15,$W$13:$W$16,0)</f>
        <v>3</v>
      </c>
      <c r="B15" s="22">
        <v>38</v>
      </c>
      <c r="C15" s="22"/>
      <c r="D15" s="22" t="s">
        <v>179</v>
      </c>
      <c r="E15" s="22">
        <v>2530095</v>
      </c>
      <c r="F15" s="22" t="s">
        <v>173</v>
      </c>
      <c r="G15" s="22" t="s">
        <v>239</v>
      </c>
      <c r="H15" s="22" t="s">
        <v>180</v>
      </c>
      <c r="I15" s="23" t="s">
        <v>181</v>
      </c>
      <c r="J15" s="27">
        <v>3.8</v>
      </c>
      <c r="K15" s="28">
        <v>3.5</v>
      </c>
      <c r="L15" s="28">
        <v>3.4</v>
      </c>
      <c r="M15" s="52">
        <v>1.7</v>
      </c>
      <c r="N15" s="52">
        <v>1.6</v>
      </c>
      <c r="O15" s="49">
        <v>1.3</v>
      </c>
      <c r="P15" s="49">
        <v>1.9</v>
      </c>
      <c r="Q15" s="49" t="s">
        <v>275</v>
      </c>
      <c r="R15" s="49" t="s">
        <v>279</v>
      </c>
      <c r="S15" s="25">
        <v>20.51</v>
      </c>
      <c r="T15" s="143">
        <f t="shared" si="0"/>
        <v>10.7</v>
      </c>
      <c r="U15" s="143">
        <f>IF((VLOOKUP(Q15,MogulsDD!$A$1:$D$1000,4,FALSE)*(M15+O15)/2)&gt;3.75,3.75,VLOOKUP(Q15,MogulsDD!$A$1:$D$1000,4,FALSE)*(M15+O15)/2)+IF((VLOOKUP(R15,MogulsDD!$A$1:$D$1000,4,FALSE)*(N15+P15)/2)&gt;3.75,3.75,VLOOKUP(R15,MogulsDD!$A$1:$D$1000,4,FALSE)*(N15+P15)/2)</f>
        <v>2.74</v>
      </c>
      <c r="V15" s="143">
        <f t="shared" si="1"/>
        <v>6.1158860453887005</v>
      </c>
      <c r="W15" s="144">
        <f>(J15+K15+L15)+IF((VLOOKUP(Q15,MogulsDD!$A$1:$D$1000,4,FALSE)*(M15+O15)/2)&gt;3.75,3.75,VLOOKUP(Q15,MogulsDD!$A$1:$D$1000,4,FALSE)*(M15+O15)/2)+IF((VLOOKUP(R15,MogulsDD!$A$1:$D$1000,4,FALSE)*(N15+P15)/2)&gt;3.75,3.75,VLOOKUP(R15,MogulsDD!$A$1:$D$1000,4,FALSE)*(N15+P15)/2)+IF((18-12*S15/$K$5)&gt;7.5,7.5,IF((18-12*S15/$K$5)&lt;0,0,(18-12*S15/$K$5)))</f>
        <v>19.5558860453887</v>
      </c>
      <c r="X15" s="38"/>
      <c r="Y15" s="38"/>
      <c r="Z15" s="38"/>
      <c r="AA15" s="38"/>
      <c r="AB15" s="39"/>
      <c r="AC15" s="38"/>
      <c r="AD15" s="38"/>
      <c r="AE15" s="38"/>
      <c r="AF15" s="38"/>
      <c r="AG15" s="39"/>
      <c r="AH15" s="38"/>
      <c r="AI15" s="38"/>
      <c r="AJ15" s="38"/>
      <c r="AK15" s="38"/>
      <c r="AL15" s="39"/>
      <c r="AM15" s="44"/>
      <c r="AN15" s="39"/>
      <c r="AO15" s="37"/>
      <c r="AP15" s="37"/>
    </row>
    <row r="16" spans="1:42">
      <c r="A16" s="19">
        <f>RANK(W16,$W$13:$W$16,0)</f>
        <v>4</v>
      </c>
      <c r="B16" s="22">
        <v>21</v>
      </c>
      <c r="C16" s="22"/>
      <c r="D16" s="22" t="s">
        <v>182</v>
      </c>
      <c r="E16" s="22">
        <v>2530097</v>
      </c>
      <c r="F16" s="22" t="s">
        <v>173</v>
      </c>
      <c r="G16" s="22" t="s">
        <v>239</v>
      </c>
      <c r="H16" s="22" t="s">
        <v>183</v>
      </c>
      <c r="I16" s="23" t="s">
        <v>115</v>
      </c>
      <c r="J16" s="27">
        <v>3.2</v>
      </c>
      <c r="K16" s="28">
        <v>3.3</v>
      </c>
      <c r="L16" s="28">
        <v>3.1</v>
      </c>
      <c r="M16" s="52">
        <v>1.6</v>
      </c>
      <c r="N16" s="52">
        <v>1.5</v>
      </c>
      <c r="O16" s="49">
        <v>1.4</v>
      </c>
      <c r="P16" s="49">
        <v>1.2</v>
      </c>
      <c r="Q16" s="49" t="s">
        <v>61</v>
      </c>
      <c r="R16" s="49" t="s">
        <v>275</v>
      </c>
      <c r="S16" s="25">
        <v>21.86</v>
      </c>
      <c r="T16" s="143">
        <f t="shared" si="0"/>
        <v>9.6</v>
      </c>
      <c r="U16" s="143">
        <f>IF((VLOOKUP(Q16,MogulsDD!$A$1:$D$1000,4,FALSE)*(M16+O16)/2)&gt;3.75,3.75,VLOOKUP(Q16,MogulsDD!$A$1:$D$1000,4,FALSE)*(M16+O16)/2)+IF((VLOOKUP(R16,MogulsDD!$A$1:$D$1000,4,FALSE)*(N16+P16)/2)&gt;3.75,3.75,VLOOKUP(R16,MogulsDD!$A$1:$D$1000,4,FALSE)*(N16+P16)/2)</f>
        <v>3.069</v>
      </c>
      <c r="V16" s="143">
        <f t="shared" si="1"/>
        <v>5.3336552390149699</v>
      </c>
      <c r="W16" s="144">
        <f>(J16+K16+L16)+IF((VLOOKUP(Q16,MogulsDD!$A$1:$D$1000,4,FALSE)*(M16+O16)/2)&gt;3.75,3.75,VLOOKUP(Q16,MogulsDD!$A$1:$D$1000,4,FALSE)*(M16+O16)/2)+IF((VLOOKUP(R16,MogulsDD!$A$1:$D$1000,4,FALSE)*(N16+P16)/2)&gt;3.75,3.75,VLOOKUP(R16,MogulsDD!$A$1:$D$1000,4,FALSE)*(N16+P16)/2)+IF((18-12*S16/$K$5)&gt;7.5,7.5,IF((18-12*S16/$K$5)&lt;0,0,(18-12*S16/$K$5)))</f>
        <v>18.00265523901497</v>
      </c>
      <c r="X16" s="38"/>
      <c r="Y16" s="38"/>
      <c r="Z16" s="38"/>
      <c r="AA16" s="38"/>
      <c r="AB16" s="39"/>
      <c r="AC16" s="38"/>
      <c r="AD16" s="38"/>
      <c r="AE16" s="38"/>
      <c r="AF16" s="38"/>
      <c r="AG16" s="39"/>
      <c r="AH16" s="38"/>
      <c r="AI16" s="38"/>
      <c r="AJ16" s="38"/>
      <c r="AK16" s="38"/>
      <c r="AL16" s="39"/>
      <c r="AM16" s="44"/>
      <c r="AN16" s="39"/>
      <c r="AO16" s="37"/>
      <c r="AP16" s="37"/>
    </row>
    <row r="17" spans="1:42">
      <c r="A17" s="132">
        <v>5</v>
      </c>
      <c r="B17" s="126">
        <v>93</v>
      </c>
      <c r="C17" s="126"/>
      <c r="D17" s="126" t="s">
        <v>208</v>
      </c>
      <c r="E17" s="126">
        <v>2531506</v>
      </c>
      <c r="F17" s="126" t="s">
        <v>164</v>
      </c>
      <c r="G17" s="126" t="s">
        <v>209</v>
      </c>
      <c r="H17" s="126" t="s">
        <v>210</v>
      </c>
      <c r="I17" s="127" t="s">
        <v>211</v>
      </c>
      <c r="J17" s="130">
        <v>2.8</v>
      </c>
      <c r="K17" s="131">
        <v>2.4</v>
      </c>
      <c r="L17" s="131">
        <v>2.2999999999999998</v>
      </c>
      <c r="M17" s="131">
        <v>1.8</v>
      </c>
      <c r="N17" s="131">
        <v>1</v>
      </c>
      <c r="O17" s="129">
        <v>1.8</v>
      </c>
      <c r="P17" s="129">
        <v>0.8</v>
      </c>
      <c r="Q17" s="129" t="s">
        <v>279</v>
      </c>
      <c r="R17" s="129" t="s">
        <v>273</v>
      </c>
      <c r="S17" s="129">
        <v>22.64</v>
      </c>
      <c r="T17" s="145">
        <f t="shared" si="0"/>
        <v>7.4999999999999991</v>
      </c>
      <c r="U17" s="145">
        <f>IF((VLOOKUP(Q17,MogulsDD!$A$1:$D$1000,4,FALSE)*(M17+O17)/2)&gt;3.75,3.75,VLOOKUP(Q17,MogulsDD!$A$1:$D$1000,4,FALSE)*(M17+O17)/2)+IF((VLOOKUP(R17,MogulsDD!$A$1:$D$1000,4,FALSE)*(N17+P17)/2)&gt;3.75,3.75,VLOOKUP(R17,MogulsDD!$A$1:$D$1000,4,FALSE)*(N17+P17)/2)</f>
        <v>2.1779999999999999</v>
      </c>
      <c r="V17" s="145">
        <f t="shared" si="1"/>
        <v>4.8816996619990345</v>
      </c>
      <c r="W17" s="146">
        <v>14.559699661999034</v>
      </c>
      <c r="X17" s="38"/>
      <c r="Y17" s="38"/>
      <c r="Z17" s="38"/>
      <c r="AA17" s="38"/>
      <c r="AB17" s="39"/>
      <c r="AC17" s="38"/>
      <c r="AD17" s="38"/>
      <c r="AE17" s="38"/>
      <c r="AF17" s="38"/>
      <c r="AG17" s="39"/>
      <c r="AH17" s="38"/>
      <c r="AI17" s="38"/>
      <c r="AJ17" s="38"/>
      <c r="AK17" s="38"/>
      <c r="AL17" s="39"/>
      <c r="AM17" s="44"/>
      <c r="AN17" s="39"/>
      <c r="AO17" s="37"/>
      <c r="AP17" s="37"/>
    </row>
    <row r="18" spans="1:42">
      <c r="A18" s="132">
        <v>6</v>
      </c>
      <c r="B18" s="126">
        <v>85</v>
      </c>
      <c r="C18" s="126"/>
      <c r="D18" s="126" t="s">
        <v>212</v>
      </c>
      <c r="E18" s="126">
        <v>2532171</v>
      </c>
      <c r="F18" s="126" t="s">
        <v>206</v>
      </c>
      <c r="G18" s="126" t="s">
        <v>207</v>
      </c>
      <c r="H18" s="126" t="s">
        <v>245</v>
      </c>
      <c r="I18" s="127" t="s">
        <v>213</v>
      </c>
      <c r="J18" s="130">
        <v>0</v>
      </c>
      <c r="K18" s="131">
        <v>0</v>
      </c>
      <c r="L18" s="131">
        <v>0</v>
      </c>
      <c r="M18" s="131">
        <v>0</v>
      </c>
      <c r="N18" s="131">
        <v>0</v>
      </c>
      <c r="O18" s="129">
        <v>0</v>
      </c>
      <c r="P18" s="129">
        <v>0</v>
      </c>
      <c r="Q18" s="129" t="s">
        <v>63</v>
      </c>
      <c r="R18" s="129" t="s">
        <v>63</v>
      </c>
      <c r="S18" s="129">
        <v>9999</v>
      </c>
      <c r="T18" s="145">
        <f t="shared" si="0"/>
        <v>0</v>
      </c>
      <c r="U18" s="145">
        <f>IF((VLOOKUP(Q18,MogulsDD!$A$1:$D$1000,4,FALSE)*(M18+O18)/2)&gt;3.75,3.75,VLOOKUP(Q18,MogulsDD!$A$1:$D$1000,4,FALSE)*(M18+O18)/2)+IF((VLOOKUP(R18,MogulsDD!$A$1:$D$1000,4,FALSE)*(N18+P18)/2)&gt;3.75,3.75,VLOOKUP(R18,MogulsDD!$A$1:$D$1000,4,FALSE)*(N18+P18)/2)</f>
        <v>0</v>
      </c>
      <c r="V18" s="145">
        <f t="shared" si="1"/>
        <v>0</v>
      </c>
      <c r="W18" s="146">
        <v>0</v>
      </c>
      <c r="X18" s="38"/>
      <c r="Y18" s="38"/>
      <c r="Z18" s="38"/>
      <c r="AA18" s="38"/>
      <c r="AB18" s="39"/>
      <c r="AC18" s="38"/>
      <c r="AD18" s="38"/>
      <c r="AE18" s="38"/>
      <c r="AF18" s="38"/>
      <c r="AG18" s="39"/>
      <c r="AH18" s="38"/>
      <c r="AI18" s="38"/>
      <c r="AJ18" s="38"/>
      <c r="AK18" s="38"/>
      <c r="AL18" s="39"/>
      <c r="AM18" s="44"/>
      <c r="AN18" s="39"/>
      <c r="AO18" s="37"/>
      <c r="AP18" s="37"/>
    </row>
    <row r="19" spans="1:42" ht="13.8" thickBot="1">
      <c r="A19" s="7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47"/>
      <c r="X19" s="38"/>
      <c r="Y19" s="38"/>
      <c r="Z19" s="38"/>
      <c r="AA19" s="38"/>
      <c r="AB19" s="39"/>
      <c r="AC19" s="38"/>
      <c r="AD19" s="38"/>
      <c r="AE19" s="38"/>
      <c r="AF19" s="38"/>
      <c r="AG19" s="38"/>
      <c r="AH19" s="38"/>
      <c r="AI19" s="38"/>
      <c r="AJ19" s="38"/>
      <c r="AK19" s="38"/>
      <c r="AL19" s="39"/>
      <c r="AM19" s="38"/>
      <c r="AN19" s="39"/>
      <c r="AO19" s="37"/>
      <c r="AP19" s="37"/>
    </row>
    <row r="20" spans="1:42" ht="13.8" thickBot="1">
      <c r="A20" s="12"/>
      <c r="B20" s="11"/>
      <c r="C20" s="9"/>
      <c r="D20" s="9"/>
      <c r="E20" s="31" t="s">
        <v>229</v>
      </c>
      <c r="F20" s="9"/>
      <c r="G20" s="9"/>
      <c r="H20" s="9"/>
      <c r="I20" s="10"/>
      <c r="J20" s="21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48"/>
      <c r="X20" s="38"/>
      <c r="Y20" s="38"/>
      <c r="Z20" s="38"/>
      <c r="AA20" s="38"/>
      <c r="AB20" s="38"/>
      <c r="AC20" s="38"/>
      <c r="AD20" s="38"/>
      <c r="AE20" s="38"/>
      <c r="AF20" s="38"/>
      <c r="AG20" s="40"/>
      <c r="AH20" s="38"/>
      <c r="AI20" s="38"/>
      <c r="AJ20" s="38"/>
      <c r="AK20" s="38"/>
      <c r="AL20" s="40"/>
      <c r="AM20" s="38"/>
      <c r="AN20" s="39"/>
      <c r="AO20" s="37"/>
      <c r="AP20" s="37"/>
    </row>
    <row r="21" spans="1:42" ht="13.8" thickBot="1">
      <c r="A21" s="2"/>
      <c r="B21" s="3" t="s">
        <v>1</v>
      </c>
      <c r="C21" s="3" t="s">
        <v>252</v>
      </c>
      <c r="D21" s="3" t="s">
        <v>111</v>
      </c>
      <c r="E21" s="3" t="s">
        <v>238</v>
      </c>
      <c r="F21" s="3" t="s">
        <v>101</v>
      </c>
      <c r="G21" s="3" t="s">
        <v>3</v>
      </c>
      <c r="H21" s="3" t="s">
        <v>4</v>
      </c>
      <c r="I21" s="4" t="s">
        <v>5</v>
      </c>
      <c r="J21" s="2" t="s">
        <v>11</v>
      </c>
      <c r="K21" s="3" t="s">
        <v>12</v>
      </c>
      <c r="L21" s="3" t="s">
        <v>15</v>
      </c>
      <c r="M21" s="3" t="s">
        <v>66</v>
      </c>
      <c r="N21" s="3" t="s">
        <v>65</v>
      </c>
      <c r="O21" s="3" t="s">
        <v>67</v>
      </c>
      <c r="P21" s="3" t="s">
        <v>68</v>
      </c>
      <c r="Q21" s="3" t="s">
        <v>59</v>
      </c>
      <c r="R21" s="3" t="s">
        <v>60</v>
      </c>
      <c r="S21" s="3" t="s">
        <v>22</v>
      </c>
      <c r="T21" s="3" t="s">
        <v>314</v>
      </c>
      <c r="U21" s="3" t="s">
        <v>315</v>
      </c>
      <c r="V21" s="3" t="s">
        <v>316</v>
      </c>
      <c r="W21" s="46" t="s">
        <v>14</v>
      </c>
      <c r="X21" s="41"/>
      <c r="Y21" s="41"/>
      <c r="Z21" s="41"/>
      <c r="AA21" s="41"/>
      <c r="AB21" s="42"/>
      <c r="AC21" s="41"/>
      <c r="AD21" s="41"/>
      <c r="AE21" s="41"/>
      <c r="AF21" s="41"/>
      <c r="AG21" s="42"/>
      <c r="AH21" s="41"/>
      <c r="AI21" s="41"/>
      <c r="AJ21" s="41"/>
      <c r="AK21" s="41"/>
      <c r="AL21" s="42"/>
      <c r="AM21" s="43"/>
      <c r="AN21" s="39"/>
      <c r="AO21" s="37"/>
      <c r="AP21" s="37"/>
    </row>
    <row r="22" spans="1:42">
      <c r="A22" s="19">
        <f>RANK(W22,$W$22:$W$25,0)</f>
        <v>1</v>
      </c>
      <c r="B22" s="32">
        <v>115</v>
      </c>
      <c r="C22" s="22">
        <v>14</v>
      </c>
      <c r="D22" s="22" t="s">
        <v>118</v>
      </c>
      <c r="E22" s="22">
        <v>2528768</v>
      </c>
      <c r="F22" s="22" t="s">
        <v>119</v>
      </c>
      <c r="G22" s="22" t="s">
        <v>129</v>
      </c>
      <c r="H22" s="22" t="s">
        <v>120</v>
      </c>
      <c r="I22" s="23" t="s">
        <v>121</v>
      </c>
      <c r="J22" s="24">
        <v>4.8</v>
      </c>
      <c r="K22" s="25">
        <v>4.7</v>
      </c>
      <c r="L22" s="25">
        <v>4.8</v>
      </c>
      <c r="M22" s="51">
        <v>2.5</v>
      </c>
      <c r="N22" s="51">
        <v>2.4</v>
      </c>
      <c r="O22" s="49">
        <v>2.5</v>
      </c>
      <c r="P22" s="49">
        <v>2.5</v>
      </c>
      <c r="Q22" s="49" t="s">
        <v>284</v>
      </c>
      <c r="R22" s="49" t="s">
        <v>286</v>
      </c>
      <c r="S22" s="25">
        <v>17.3</v>
      </c>
      <c r="T22" s="143">
        <f t="shared" ref="T22:T31" si="2">(J22+K22+L22)</f>
        <v>14.3</v>
      </c>
      <c r="U22" s="143">
        <f>IF((VLOOKUP(Q22,MogulsDD!$A$1:$C$1000,3,FALSE)*(M22+O22)/2)&gt;3.75,3.75,VLOOKUP(Q22,MogulsDD!$A$1:$C$1000,3,FALSE)*(M22+O22)/2)+IF((VLOOKUP(R22,MogulsDD!$A$1:$C$1000,3,FALSE)*(N22+P22)/2)&gt;3.75,3.75,VLOOKUP(R22,MogulsDD!$A$1:$C$1000,3,FALSE)*(N22+P22)/2)</f>
        <v>5.2955000000000005</v>
      </c>
      <c r="V22" s="143">
        <f>IF((18-12*S22/$J$5)&gt;7.5,7.5,IF((18-12*S22/$J$5)&lt;0,0,(18-12*S22/$J$5)))</f>
        <v>6.1844052361980637</v>
      </c>
      <c r="W22" s="144">
        <f>(J22+K22+L22)+IF((VLOOKUP(Q22,MogulsDD!$A$1:$C$1000,3,FALSE)*(M22+O22)/2)&gt;3.75,3.75,VLOOKUP(Q22,MogulsDD!$A$1:$C$1000,3,FALSE)*(M22+O22)/2)+IF((VLOOKUP(R22,MogulsDD!$A$1:$C$1000,3,FALSE)*(N22+P22)/2)&gt;3.75,3.75,VLOOKUP(R22,MogulsDD!$A$1:$C$1000,3,FALSE)*(N22+P22)/2)+IF((18-12*S22/$J$5)&gt;7.5,7.5,IF((18-12*S22/$J$5)&lt;0,0,(18-12*S22/$J$5)))</f>
        <v>25.779905236198065</v>
      </c>
      <c r="X22" s="38"/>
      <c r="Y22" s="38"/>
      <c r="Z22" s="38"/>
      <c r="AA22" s="38"/>
      <c r="AB22" s="39"/>
      <c r="AC22" s="38"/>
      <c r="AD22" s="38"/>
      <c r="AE22" s="38"/>
      <c r="AF22" s="38"/>
      <c r="AG22" s="39"/>
      <c r="AH22" s="38"/>
      <c r="AI22" s="38"/>
      <c r="AJ22" s="38"/>
      <c r="AK22" s="38"/>
      <c r="AL22" s="39"/>
      <c r="AM22" s="44"/>
      <c r="AN22" s="39"/>
      <c r="AO22" s="37"/>
      <c r="AP22" s="37"/>
    </row>
    <row r="23" spans="1:42">
      <c r="A23" s="19">
        <f>RANK(W23,$W$22:$W$25,0)</f>
        <v>2</v>
      </c>
      <c r="B23" s="32">
        <v>97</v>
      </c>
      <c r="C23" s="22">
        <v>22</v>
      </c>
      <c r="D23" s="22" t="s">
        <v>159</v>
      </c>
      <c r="E23" s="22">
        <v>2485295</v>
      </c>
      <c r="F23" s="22" t="s">
        <v>160</v>
      </c>
      <c r="G23" s="22" t="s">
        <v>122</v>
      </c>
      <c r="H23" s="22" t="s">
        <v>161</v>
      </c>
      <c r="I23" s="23" t="s">
        <v>162</v>
      </c>
      <c r="J23" s="27">
        <v>4.2</v>
      </c>
      <c r="K23" s="28">
        <v>4.0999999999999996</v>
      </c>
      <c r="L23" s="28">
        <v>4.4000000000000004</v>
      </c>
      <c r="M23" s="52">
        <v>2.4</v>
      </c>
      <c r="N23" s="52">
        <v>2.1</v>
      </c>
      <c r="O23" s="49">
        <v>2.2999999999999998</v>
      </c>
      <c r="P23" s="49">
        <v>2</v>
      </c>
      <c r="Q23" s="49" t="s">
        <v>284</v>
      </c>
      <c r="R23" s="49" t="s">
        <v>286</v>
      </c>
      <c r="S23" s="25">
        <v>17.920000000000002</v>
      </c>
      <c r="T23" s="143">
        <f t="shared" si="2"/>
        <v>12.700000000000001</v>
      </c>
      <c r="U23" s="143">
        <f>IF((VLOOKUP(Q23,MogulsDD!$A$1:$C$1000,3,FALSE)*(M23+O23)/2)&gt;3.75,3.75,VLOOKUP(Q23,MogulsDD!$A$1:$C$1000,3,FALSE)*(M23+O23)/2)+IF((VLOOKUP(R23,MogulsDD!$A$1:$C$1000,3,FALSE)*(N23+P23)/2)&gt;3.75,3.75,VLOOKUP(R23,MogulsDD!$A$1:$C$1000,3,FALSE)*(N23+P23)/2)</f>
        <v>4.702</v>
      </c>
      <c r="V23" s="143">
        <f t="shared" ref="V23:V31" si="3">IF((18-12*S23/$J$5)&gt;7.5,7.5,IF((18-12*S23/$J$5)&lt;0,0,(18-12*S23/$J$5)))</f>
        <v>5.7609561752988032</v>
      </c>
      <c r="W23" s="144">
        <f>(J23+K23+L23)+IF((VLOOKUP(Q23,MogulsDD!$A$1:$C$1000,3,FALSE)*(M23+O23)/2)&gt;3.75,3.75,VLOOKUP(Q23,MogulsDD!$A$1:$C$1000,3,FALSE)*(M23+O23)/2)+IF((VLOOKUP(R23,MogulsDD!$A$1:$C$1000,3,FALSE)*(N23+P23)/2)&gt;3.75,3.75,VLOOKUP(R23,MogulsDD!$A$1:$C$1000,3,FALSE)*(N23+P23)/2)+IF((18-12*S23/$J$5)&gt;7.5,7.5,IF((18-12*S23/$J$5)&lt;0,0,(18-12*S23/$J$5)))</f>
        <v>23.162956175298802</v>
      </c>
      <c r="X23" s="38"/>
      <c r="Y23" s="38"/>
      <c r="Z23" s="38"/>
      <c r="AA23" s="38"/>
      <c r="AB23" s="39"/>
      <c r="AC23" s="38"/>
      <c r="AD23" s="38"/>
      <c r="AE23" s="38"/>
      <c r="AF23" s="38"/>
      <c r="AG23" s="39"/>
      <c r="AH23" s="38"/>
      <c r="AI23" s="38"/>
      <c r="AJ23" s="38"/>
      <c r="AK23" s="38"/>
      <c r="AL23" s="39"/>
      <c r="AM23" s="44"/>
      <c r="AN23" s="39"/>
      <c r="AO23" s="37"/>
      <c r="AP23" s="37"/>
    </row>
    <row r="24" spans="1:42">
      <c r="A24" s="19">
        <f>RANK(W24,$W$22:$W$25,0)</f>
        <v>3</v>
      </c>
      <c r="B24" s="32">
        <v>49</v>
      </c>
      <c r="C24" s="22">
        <v>4</v>
      </c>
      <c r="D24" s="22" t="s">
        <v>170</v>
      </c>
      <c r="E24" s="22">
        <v>2529840</v>
      </c>
      <c r="F24" s="22" t="s">
        <v>164</v>
      </c>
      <c r="G24" s="22" t="s">
        <v>209</v>
      </c>
      <c r="H24" s="22" t="s">
        <v>171</v>
      </c>
      <c r="I24" s="23" t="s">
        <v>103</v>
      </c>
      <c r="J24" s="27">
        <v>4.0999999999999996</v>
      </c>
      <c r="K24" s="28">
        <v>4</v>
      </c>
      <c r="L24" s="28">
        <v>4.3</v>
      </c>
      <c r="M24" s="52">
        <v>1.8</v>
      </c>
      <c r="N24" s="52">
        <v>1.7</v>
      </c>
      <c r="O24" s="49">
        <v>2.1</v>
      </c>
      <c r="P24" s="49">
        <v>1.9</v>
      </c>
      <c r="Q24" s="49" t="s">
        <v>270</v>
      </c>
      <c r="R24" s="49" t="s">
        <v>272</v>
      </c>
      <c r="S24" s="25">
        <v>18.190000000000001</v>
      </c>
      <c r="T24" s="143">
        <f t="shared" si="2"/>
        <v>12.399999999999999</v>
      </c>
      <c r="U24" s="143">
        <f>IF((VLOOKUP(Q24,MogulsDD!$A$1:$C$1000,3,FALSE)*(M24+O24)/2)&gt;3.75,3.75,VLOOKUP(Q24,MogulsDD!$A$1:$C$1000,3,FALSE)*(M24+O24)/2)+IF((VLOOKUP(R24,MogulsDD!$A$1:$C$1000,3,FALSE)*(N24+P24)/2)&gt;3.75,3.75,VLOOKUP(R24,MogulsDD!$A$1:$C$1000,3,FALSE)*(N24+P24)/2)</f>
        <v>4.0274999999999999</v>
      </c>
      <c r="V24" s="143">
        <f t="shared" si="3"/>
        <v>5.5765509391007377</v>
      </c>
      <c r="W24" s="144">
        <f>(J24+K24+L24)+IF((VLOOKUP(Q24,MogulsDD!$A$1:$C$1000,3,FALSE)*(M24+O24)/2)&gt;3.75,3.75,VLOOKUP(Q24,MogulsDD!$A$1:$C$1000,3,FALSE)*(M24+O24)/2)+IF((VLOOKUP(R24,MogulsDD!$A$1:$C$1000,3,FALSE)*(N24+P24)/2)&gt;3.75,3.75,VLOOKUP(R24,MogulsDD!$A$1:$C$1000,3,FALSE)*(N24+P24)/2)+IF((18-12*S24/$J$5)&gt;7.5,7.5,IF((18-12*S24/$J$5)&lt;0,0,(18-12*S24/$J$5)))</f>
        <v>22.004050939100736</v>
      </c>
      <c r="X24" s="38"/>
      <c r="Y24" s="38"/>
      <c r="Z24" s="38"/>
      <c r="AA24" s="38"/>
      <c r="AB24" s="39"/>
      <c r="AC24" s="38"/>
      <c r="AD24" s="38"/>
      <c r="AE24" s="38"/>
      <c r="AF24" s="38"/>
      <c r="AG24" s="39"/>
      <c r="AH24" s="38"/>
      <c r="AI24" s="38"/>
      <c r="AJ24" s="38"/>
      <c r="AK24" s="38"/>
      <c r="AL24" s="39"/>
      <c r="AM24" s="44"/>
      <c r="AN24" s="39"/>
      <c r="AO24" s="37"/>
      <c r="AP24" s="37"/>
    </row>
    <row r="25" spans="1:42">
      <c r="A25" s="19">
        <f>RANK(W25,$W$22:$W$25,0)</f>
        <v>4</v>
      </c>
      <c r="B25" s="32">
        <v>56</v>
      </c>
      <c r="C25" s="22">
        <v>7</v>
      </c>
      <c r="D25" s="22" t="s">
        <v>172</v>
      </c>
      <c r="E25" s="22">
        <v>2531748</v>
      </c>
      <c r="F25" s="22" t="s">
        <v>173</v>
      </c>
      <c r="G25" s="22" t="s">
        <v>239</v>
      </c>
      <c r="H25" s="22" t="s">
        <v>174</v>
      </c>
      <c r="I25" s="23" t="s">
        <v>175</v>
      </c>
      <c r="J25" s="27">
        <v>0.1</v>
      </c>
      <c r="K25" s="28">
        <v>0.1</v>
      </c>
      <c r="L25" s="28">
        <v>0.1</v>
      </c>
      <c r="M25" s="52">
        <v>0.1</v>
      </c>
      <c r="N25" s="52">
        <v>0.1</v>
      </c>
      <c r="O25" s="49">
        <v>0.1</v>
      </c>
      <c r="P25" s="49">
        <v>0.1</v>
      </c>
      <c r="Q25" s="49" t="s">
        <v>270</v>
      </c>
      <c r="R25" s="49" t="s">
        <v>272</v>
      </c>
      <c r="S25" s="25">
        <v>25.36</v>
      </c>
      <c r="T25" s="143">
        <f t="shared" si="2"/>
        <v>0.30000000000000004</v>
      </c>
      <c r="U25" s="143">
        <f>IF((VLOOKUP(Q25,MogulsDD!$A$1:$C$1000,3,FALSE)*(M25+O25)/2)&gt;3.75,3.75,VLOOKUP(Q25,MogulsDD!$A$1:$C$1000,3,FALSE)*(M25+O25)/2)+IF((VLOOKUP(R25,MogulsDD!$A$1:$C$1000,3,FALSE)*(N25+P25)/2)&gt;3.75,3.75,VLOOKUP(R25,MogulsDD!$A$1:$C$1000,3,FALSE)*(N25+P25)/2)</f>
        <v>0.21500000000000002</v>
      </c>
      <c r="V25" s="143">
        <f t="shared" si="3"/>
        <v>0.67956744450768269</v>
      </c>
      <c r="W25" s="144">
        <f>(J25+K25+L25)+IF((VLOOKUP(Q25,MogulsDD!$A$1:$C$1000,3,FALSE)*(M25+O25)/2)&gt;3.75,3.75,VLOOKUP(Q25,MogulsDD!$A$1:$C$1000,3,FALSE)*(M25+O25)/2)+IF((VLOOKUP(R25,MogulsDD!$A$1:$C$1000,3,FALSE)*(N25+P25)/2)&gt;3.75,3.75,VLOOKUP(R25,MogulsDD!$A$1:$C$1000,3,FALSE)*(N25+P25)/2)+IF((18-12*S25/$J$5)&gt;7.5,7.5,IF((18-12*S25/$J$5)&lt;0,0,(18-12*S25/$J$5)))</f>
        <v>1.1945674445076828</v>
      </c>
      <c r="X25" s="38"/>
      <c r="Y25" s="38"/>
      <c r="Z25" s="38"/>
      <c r="AA25" s="38"/>
      <c r="AB25" s="39"/>
      <c r="AC25" s="38"/>
      <c r="AD25" s="38"/>
      <c r="AE25" s="38"/>
      <c r="AF25" s="38"/>
      <c r="AG25" s="39"/>
      <c r="AH25" s="38"/>
      <c r="AI25" s="38"/>
      <c r="AJ25" s="38"/>
      <c r="AK25" s="38"/>
      <c r="AL25" s="39"/>
      <c r="AM25" s="44"/>
      <c r="AN25" s="39"/>
      <c r="AO25" s="37"/>
      <c r="AP25" s="37"/>
    </row>
    <row r="26" spans="1:42">
      <c r="A26" s="132">
        <v>5</v>
      </c>
      <c r="B26" s="133">
        <v>18</v>
      </c>
      <c r="C26" s="126">
        <v>13</v>
      </c>
      <c r="D26" s="126" t="s">
        <v>123</v>
      </c>
      <c r="E26" s="126">
        <v>2531086</v>
      </c>
      <c r="F26" s="126" t="s">
        <v>124</v>
      </c>
      <c r="G26" s="126" t="s">
        <v>122</v>
      </c>
      <c r="H26" s="126" t="s">
        <v>125</v>
      </c>
      <c r="I26" s="127" t="s">
        <v>126</v>
      </c>
      <c r="J26" s="130">
        <v>3.7</v>
      </c>
      <c r="K26" s="131">
        <v>4.0999999999999996</v>
      </c>
      <c r="L26" s="131">
        <v>4.2</v>
      </c>
      <c r="M26" s="131">
        <v>1.7</v>
      </c>
      <c r="N26" s="131">
        <v>1.7</v>
      </c>
      <c r="O26" s="129">
        <v>1.5</v>
      </c>
      <c r="P26" s="129">
        <v>1.5</v>
      </c>
      <c r="Q26" s="129" t="s">
        <v>270</v>
      </c>
      <c r="R26" s="129" t="s">
        <v>286</v>
      </c>
      <c r="S26" s="129">
        <v>20.05</v>
      </c>
      <c r="T26" s="145">
        <f t="shared" si="2"/>
        <v>12</v>
      </c>
      <c r="U26" s="145">
        <f>IF((VLOOKUP(Q26,MogulsDD!$A$1:$C$1000,3,FALSE)*(M26+O26)/2)&gt;3.75,3.75,VLOOKUP(Q26,MogulsDD!$A$1:$C$1000,3,FALSE)*(M26+O26)/2)+IF((VLOOKUP(R26,MogulsDD!$A$1:$C$1000,3,FALSE)*(N26+P26)/2)&gt;3.75,3.75,VLOOKUP(R26,MogulsDD!$A$1:$C$1000,3,FALSE)*(N26+P26)/2)</f>
        <v>3.4240000000000004</v>
      </c>
      <c r="V26" s="145">
        <f t="shared" si="3"/>
        <v>4.306203756402958</v>
      </c>
      <c r="W26" s="146">
        <v>19.730203756402958</v>
      </c>
      <c r="X26" s="38"/>
      <c r="Y26" s="38"/>
      <c r="Z26" s="38"/>
      <c r="AA26" s="38"/>
      <c r="AB26" s="39"/>
      <c r="AC26" s="38"/>
      <c r="AD26" s="38"/>
      <c r="AE26" s="38"/>
      <c r="AF26" s="38"/>
      <c r="AG26" s="39"/>
      <c r="AH26" s="38"/>
      <c r="AI26" s="38"/>
      <c r="AJ26" s="38"/>
      <c r="AK26" s="38"/>
      <c r="AL26" s="39"/>
      <c r="AM26" s="44"/>
      <c r="AN26" s="39"/>
      <c r="AO26" s="37"/>
      <c r="AP26" s="37"/>
    </row>
    <row r="27" spans="1:42">
      <c r="A27" s="132">
        <v>6</v>
      </c>
      <c r="B27" s="133">
        <v>44</v>
      </c>
      <c r="C27" s="126">
        <v>3</v>
      </c>
      <c r="D27" s="126" t="s">
        <v>110</v>
      </c>
      <c r="E27" s="126">
        <v>2531950</v>
      </c>
      <c r="F27" s="126" t="s">
        <v>106</v>
      </c>
      <c r="G27" s="126" t="s">
        <v>122</v>
      </c>
      <c r="H27" s="126" t="s">
        <v>102</v>
      </c>
      <c r="I27" s="127" t="s">
        <v>103</v>
      </c>
      <c r="J27" s="130">
        <v>3.5</v>
      </c>
      <c r="K27" s="131">
        <v>3.9</v>
      </c>
      <c r="L27" s="131">
        <v>4</v>
      </c>
      <c r="M27" s="131">
        <v>1</v>
      </c>
      <c r="N27" s="131">
        <v>1.8</v>
      </c>
      <c r="O27" s="129">
        <v>1.2</v>
      </c>
      <c r="P27" s="129">
        <v>1.9</v>
      </c>
      <c r="Q27" s="129" t="s">
        <v>61</v>
      </c>
      <c r="R27" s="129" t="s">
        <v>272</v>
      </c>
      <c r="S27" s="129">
        <v>19.27</v>
      </c>
      <c r="T27" s="145">
        <f t="shared" si="2"/>
        <v>11.4</v>
      </c>
      <c r="U27" s="145">
        <f>IF((VLOOKUP(Q27,MogulsDD!$A$1:$C$1000,3,FALSE)*(M27+O27)/2)&gt;3.75,3.75,VLOOKUP(Q27,MogulsDD!$A$1:$C$1000,3,FALSE)*(M27+O27)/2)+IF((VLOOKUP(R27,MogulsDD!$A$1:$C$1000,3,FALSE)*(N27+P27)/2)&gt;3.75,3.75,VLOOKUP(R27,MogulsDD!$A$1:$C$1000,3,FALSE)*(N27+P27)/2)</f>
        <v>3.1900000000000004</v>
      </c>
      <c r="V27" s="145">
        <f t="shared" si="3"/>
        <v>4.8389299943084794</v>
      </c>
      <c r="W27" s="146">
        <v>19.428929994308479</v>
      </c>
      <c r="X27" s="38"/>
      <c r="Y27" s="38"/>
      <c r="Z27" s="38"/>
      <c r="AA27" s="38"/>
      <c r="AB27" s="39"/>
      <c r="AC27" s="38"/>
      <c r="AD27" s="38"/>
      <c r="AE27" s="38"/>
      <c r="AF27" s="38"/>
      <c r="AG27" s="39"/>
      <c r="AH27" s="38"/>
      <c r="AI27" s="38"/>
      <c r="AJ27" s="38"/>
      <c r="AK27" s="38"/>
      <c r="AL27" s="39"/>
      <c r="AM27" s="44"/>
      <c r="AN27" s="39"/>
      <c r="AO27" s="37"/>
      <c r="AP27" s="37"/>
    </row>
    <row r="28" spans="1:42">
      <c r="A28" s="132">
        <v>7</v>
      </c>
      <c r="B28" s="133">
        <v>3</v>
      </c>
      <c r="C28" s="126">
        <v>6</v>
      </c>
      <c r="D28" s="126" t="s">
        <v>156</v>
      </c>
      <c r="E28" s="126">
        <v>2532116</v>
      </c>
      <c r="F28" s="126" t="s">
        <v>157</v>
      </c>
      <c r="G28" s="126" t="s">
        <v>122</v>
      </c>
      <c r="H28" s="126" t="s">
        <v>158</v>
      </c>
      <c r="I28" s="127" t="s">
        <v>128</v>
      </c>
      <c r="J28" s="130">
        <v>3.6</v>
      </c>
      <c r="K28" s="131">
        <v>4</v>
      </c>
      <c r="L28" s="131">
        <v>4.0999999999999996</v>
      </c>
      <c r="M28" s="131">
        <v>1.8</v>
      </c>
      <c r="N28" s="131">
        <v>1.6</v>
      </c>
      <c r="O28" s="129">
        <v>1.6</v>
      </c>
      <c r="P28" s="129">
        <v>1.6</v>
      </c>
      <c r="Q28" s="129" t="s">
        <v>287</v>
      </c>
      <c r="R28" s="129" t="s">
        <v>273</v>
      </c>
      <c r="S28" s="129">
        <v>19.829999999999998</v>
      </c>
      <c r="T28" s="145">
        <f t="shared" si="2"/>
        <v>11.7</v>
      </c>
      <c r="U28" s="145">
        <f>IF((VLOOKUP(Q28,MogulsDD!$A$1:$C$1000,3,FALSE)*(M28+O28)/2)&gt;3.75,3.75,VLOOKUP(Q28,MogulsDD!$A$1:$C$1000,3,FALSE)*(M28+O28)/2)+IF((VLOOKUP(R28,MogulsDD!$A$1:$C$1000,3,FALSE)*(N28+P28)/2)&gt;3.75,3.75,VLOOKUP(R28,MogulsDD!$A$1:$C$1000,3,FALSE)*(N28+P28)/2)</f>
        <v>2.6110000000000002</v>
      </c>
      <c r="V28" s="145">
        <f t="shared" si="3"/>
        <v>4.4564598747865691</v>
      </c>
      <c r="W28" s="146">
        <v>18.767459874786567</v>
      </c>
      <c r="X28" s="38"/>
      <c r="Y28" s="38"/>
      <c r="Z28" s="38"/>
      <c r="AA28" s="38"/>
      <c r="AB28" s="39"/>
      <c r="AC28" s="38"/>
      <c r="AD28" s="38"/>
      <c r="AE28" s="38"/>
      <c r="AF28" s="38"/>
      <c r="AG28" s="39"/>
      <c r="AH28" s="38"/>
      <c r="AI28" s="38"/>
      <c r="AJ28" s="38"/>
      <c r="AK28" s="38"/>
      <c r="AL28" s="39"/>
      <c r="AM28" s="44"/>
      <c r="AN28" s="39"/>
      <c r="AO28" s="37"/>
      <c r="AP28" s="37"/>
    </row>
    <row r="29" spans="1:42">
      <c r="A29" s="132">
        <v>8</v>
      </c>
      <c r="B29" s="133">
        <v>81</v>
      </c>
      <c r="C29" s="126">
        <v>5</v>
      </c>
      <c r="D29" s="126" t="s">
        <v>205</v>
      </c>
      <c r="E29" s="126">
        <v>2530651</v>
      </c>
      <c r="F29" s="126" t="s">
        <v>206</v>
      </c>
      <c r="G29" s="126" t="s">
        <v>207</v>
      </c>
      <c r="H29" s="126" t="s">
        <v>243</v>
      </c>
      <c r="I29" s="127" t="s">
        <v>126</v>
      </c>
      <c r="J29" s="130">
        <v>3.3</v>
      </c>
      <c r="K29" s="131">
        <v>3.6</v>
      </c>
      <c r="L29" s="131">
        <v>3.1</v>
      </c>
      <c r="M29" s="131">
        <v>2.4</v>
      </c>
      <c r="N29" s="131">
        <v>1</v>
      </c>
      <c r="O29" s="129">
        <v>2.5</v>
      </c>
      <c r="P29" s="129">
        <v>0.6</v>
      </c>
      <c r="Q29" s="129" t="s">
        <v>284</v>
      </c>
      <c r="R29" s="129" t="s">
        <v>286</v>
      </c>
      <c r="S29" s="129">
        <v>19.29</v>
      </c>
      <c r="T29" s="145">
        <f t="shared" si="2"/>
        <v>10</v>
      </c>
      <c r="U29" s="145">
        <f>IF((VLOOKUP(Q29,MogulsDD!$A$1:$C$1000,3,FALSE)*(M29+O29)/2)&gt;3.75,3.75,VLOOKUP(Q29,MogulsDD!$A$1:$C$1000,3,FALSE)*(M29+O29)/2)+IF((VLOOKUP(R29,MogulsDD!$A$1:$C$1000,3,FALSE)*(N29+P29)/2)&gt;3.75,3.75,VLOOKUP(R29,MogulsDD!$A$1:$C$1000,3,FALSE)*(N29+P29)/2)</f>
        <v>3.4445000000000006</v>
      </c>
      <c r="V29" s="145">
        <f t="shared" si="3"/>
        <v>4.8252703471826983</v>
      </c>
      <c r="W29" s="146">
        <v>18.2697703471827</v>
      </c>
      <c r="X29" s="38"/>
      <c r="Y29" s="38"/>
      <c r="Z29" s="38"/>
      <c r="AA29" s="38"/>
      <c r="AB29" s="39"/>
      <c r="AC29" s="38"/>
      <c r="AD29" s="38"/>
      <c r="AE29" s="38"/>
      <c r="AF29" s="38"/>
      <c r="AG29" s="39"/>
      <c r="AH29" s="38"/>
      <c r="AI29" s="38"/>
      <c r="AJ29" s="38"/>
      <c r="AK29" s="38"/>
      <c r="AL29" s="39"/>
      <c r="AM29" s="44"/>
      <c r="AN29" s="39"/>
      <c r="AO29" s="37"/>
      <c r="AP29" s="37"/>
    </row>
    <row r="30" spans="1:42" ht="13.8" thickBot="1">
      <c r="A30" s="132">
        <v>9</v>
      </c>
      <c r="B30" s="134">
        <v>104</v>
      </c>
      <c r="C30" s="126">
        <v>17</v>
      </c>
      <c r="D30" s="135" t="s">
        <v>112</v>
      </c>
      <c r="E30" s="126">
        <v>2530279</v>
      </c>
      <c r="F30" s="135" t="s">
        <v>113</v>
      </c>
      <c r="G30" s="135" t="s">
        <v>122</v>
      </c>
      <c r="H30" s="135" t="s">
        <v>114</v>
      </c>
      <c r="I30" s="136" t="s">
        <v>115</v>
      </c>
      <c r="J30" s="137">
        <v>0.1</v>
      </c>
      <c r="K30" s="138">
        <v>0.1</v>
      </c>
      <c r="L30" s="138">
        <v>0.1</v>
      </c>
      <c r="M30" s="138">
        <v>0.1</v>
      </c>
      <c r="N30" s="138">
        <v>0.1</v>
      </c>
      <c r="O30" s="138">
        <v>0.1</v>
      </c>
      <c r="P30" s="138">
        <v>0.1</v>
      </c>
      <c r="Q30" s="129" t="s">
        <v>61</v>
      </c>
      <c r="R30" s="129" t="s">
        <v>286</v>
      </c>
      <c r="S30" s="129">
        <v>29.4</v>
      </c>
      <c r="T30" s="145">
        <f t="shared" si="2"/>
        <v>0.30000000000000004</v>
      </c>
      <c r="U30" s="145">
        <f>IF((VLOOKUP(Q30,MogulsDD!$A$1:$C$1000,3,FALSE)*(M30+O30)/2)&gt;3.75,3.75,VLOOKUP(Q30,MogulsDD!$A$1:$C$1000,3,FALSE)*(M30+O30)/2)+IF((VLOOKUP(R30,MogulsDD!$A$1:$C$1000,3,FALSE)*(N30+P30)/2)&gt;3.75,3.75,VLOOKUP(R30,MogulsDD!$A$1:$C$1000,3,FALSE)*(N30+P30)/2)</f>
        <v>0.21400000000000002</v>
      </c>
      <c r="V30" s="145">
        <f t="shared" si="3"/>
        <v>0</v>
      </c>
      <c r="W30" s="146">
        <v>0.51400000000000001</v>
      </c>
      <c r="X30" s="38"/>
      <c r="Y30" s="38"/>
      <c r="Z30" s="38"/>
      <c r="AA30" s="38"/>
      <c r="AB30" s="39"/>
      <c r="AC30" s="38"/>
      <c r="AD30" s="38"/>
      <c r="AE30" s="38"/>
      <c r="AF30" s="38"/>
      <c r="AG30" s="39"/>
      <c r="AH30" s="38"/>
      <c r="AI30" s="38"/>
      <c r="AJ30" s="38"/>
      <c r="AK30" s="38"/>
      <c r="AL30" s="39"/>
      <c r="AM30" s="44"/>
      <c r="AN30" s="39"/>
      <c r="AO30" s="37"/>
      <c r="AP30" s="37"/>
    </row>
    <row r="31" spans="1:42">
      <c r="A31" s="112">
        <v>10</v>
      </c>
      <c r="B31" s="119">
        <v>109</v>
      </c>
      <c r="C31" s="113">
        <v>18</v>
      </c>
      <c r="D31" s="120" t="s">
        <v>199</v>
      </c>
      <c r="E31" s="113">
        <v>2528447</v>
      </c>
      <c r="F31" s="120" t="s">
        <v>200</v>
      </c>
      <c r="G31" s="120" t="s">
        <v>122</v>
      </c>
      <c r="H31" s="120" t="s">
        <v>201</v>
      </c>
      <c r="I31" s="121" t="s">
        <v>202</v>
      </c>
      <c r="J31" s="122">
        <v>2.5</v>
      </c>
      <c r="K31" s="123">
        <v>2.4</v>
      </c>
      <c r="L31" s="123">
        <v>2.4</v>
      </c>
      <c r="M31" s="123">
        <v>1.8</v>
      </c>
      <c r="N31" s="123">
        <v>1.3</v>
      </c>
      <c r="O31" s="123">
        <v>2.1</v>
      </c>
      <c r="P31" s="123">
        <v>1.5</v>
      </c>
      <c r="Q31" s="118" t="s">
        <v>284</v>
      </c>
      <c r="R31" s="118" t="s">
        <v>27</v>
      </c>
      <c r="S31" s="118">
        <v>21.01</v>
      </c>
      <c r="T31" s="147">
        <f t="shared" si="2"/>
        <v>7.3000000000000007</v>
      </c>
      <c r="U31" s="147">
        <f>IF((VLOOKUP(Q31,MogulsDD!$A$1:$C$1000,3,FALSE)*(M31+O31)/2)&gt;3.75,3.75,VLOOKUP(Q31,MogulsDD!$A$1:$C$1000,3,FALSE)*(M31+O31)/2)+IF((VLOOKUP(R31,MogulsDD!$A$1:$C$1000,3,FALSE)*(N31+P31)/2)&gt;3.75,3.75,VLOOKUP(R31,MogulsDD!$A$1:$C$1000,3,FALSE)*(N31+P31)/2)</f>
        <v>3.5175000000000001</v>
      </c>
      <c r="V31" s="147">
        <f t="shared" si="3"/>
        <v>3.6505406943653949</v>
      </c>
      <c r="W31" s="148">
        <v>14.468040694365396</v>
      </c>
      <c r="X31" s="38"/>
      <c r="Y31" s="38"/>
      <c r="Z31" s="38"/>
      <c r="AA31" s="38"/>
      <c r="AB31" s="39"/>
      <c r="AC31" s="38"/>
      <c r="AD31" s="38"/>
      <c r="AE31" s="38"/>
      <c r="AF31" s="38"/>
      <c r="AG31" s="39"/>
      <c r="AH31" s="38"/>
      <c r="AI31" s="38"/>
      <c r="AJ31" s="38"/>
      <c r="AK31" s="38"/>
      <c r="AL31" s="39"/>
      <c r="AM31" s="44"/>
      <c r="AN31" s="39"/>
      <c r="AO31" s="37"/>
      <c r="AP31" s="37"/>
    </row>
    <row r="32" spans="1:42"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7"/>
      <c r="AP32" s="37"/>
    </row>
    <row r="33" spans="24:42"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7"/>
      <c r="AP33" s="37"/>
    </row>
    <row r="34" spans="24:42"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7"/>
      <c r="AP34" s="37"/>
    </row>
    <row r="35" spans="24:42"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7"/>
      <c r="AP35" s="37"/>
    </row>
    <row r="36" spans="24:42"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7"/>
      <c r="AP36" s="37"/>
    </row>
    <row r="37" spans="24:42"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7"/>
      <c r="AP37" s="37"/>
    </row>
    <row r="38" spans="24:42"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7"/>
      <c r="AP38" s="37"/>
    </row>
    <row r="39" spans="24:42"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7"/>
      <c r="AP39" s="37"/>
    </row>
    <row r="40" spans="24:42"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7"/>
      <c r="AP40" s="37"/>
    </row>
    <row r="41" spans="24:42"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7"/>
      <c r="AP41" s="37"/>
    </row>
    <row r="42" spans="24:42"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7"/>
      <c r="AP42" s="37"/>
    </row>
    <row r="43" spans="24:42"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7"/>
      <c r="AP43" s="37"/>
    </row>
    <row r="44" spans="24:42"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7"/>
      <c r="AP44" s="37"/>
    </row>
    <row r="45" spans="24:42"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7"/>
      <c r="AP45" s="37"/>
    </row>
    <row r="46" spans="24:42"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7"/>
      <c r="AP46" s="37"/>
    </row>
    <row r="47" spans="24:42"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7"/>
      <c r="AP47" s="37"/>
    </row>
    <row r="48" spans="24:42"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7"/>
      <c r="AP48" s="37"/>
    </row>
    <row r="49" spans="24:42"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7"/>
      <c r="AP49" s="37"/>
    </row>
    <row r="50" spans="24:42"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7"/>
      <c r="AP50" s="37"/>
    </row>
    <row r="51" spans="24:42"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7"/>
      <c r="AP51" s="37"/>
    </row>
    <row r="52" spans="24:42"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</row>
    <row r="53" spans="24:42"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</row>
    <row r="54" spans="24:42"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</row>
    <row r="55" spans="24:42"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</row>
    <row r="56" spans="24:42"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</row>
    <row r="57" spans="24:42"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</row>
    <row r="58" spans="24:42"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</row>
    <row r="59" spans="24:42"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</row>
    <row r="60" spans="24:42"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</row>
    <row r="61" spans="24:42"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</row>
    <row r="62" spans="24:42"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</row>
    <row r="63" spans="24:42"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</row>
    <row r="64" spans="24:42"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</row>
    <row r="65" spans="24:42"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</row>
    <row r="66" spans="24:42"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</row>
    <row r="67" spans="24:42"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</row>
    <row r="68" spans="24:42"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</row>
    <row r="69" spans="24:42"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</row>
    <row r="70" spans="24:42"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</row>
    <row r="71" spans="24:42"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</row>
    <row r="72" spans="24:42"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</row>
    <row r="73" spans="24:42"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</row>
  </sheetData>
  <mergeCells count="12">
    <mergeCell ref="A1:I1"/>
    <mergeCell ref="A2:I2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</mergeCells>
  <hyperlinks>
    <hyperlink ref="J2" r:id="rId1" display="http://data.fis-ski.com/dynamic/event-details.html?event_id=36203&amp;cal_suchsector=FS"/>
    <hyperlink ref="L2" r:id="rId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95"/>
  <sheetViews>
    <sheetView workbookViewId="0">
      <selection activeCell="E59" sqref="E59"/>
    </sheetView>
  </sheetViews>
  <sheetFormatPr defaultColWidth="11.44140625" defaultRowHeight="13.2"/>
  <cols>
    <col min="2" max="2" width="8.109375" customWidth="1"/>
    <col min="3" max="3" width="17.44140625" bestFit="1" customWidth="1"/>
    <col min="4" max="4" width="22" customWidth="1"/>
    <col min="5" max="5" width="18.44140625" customWidth="1"/>
    <col min="6" max="6" width="11.109375" customWidth="1"/>
    <col min="8" max="8" width="16.6640625" bestFit="1" customWidth="1"/>
    <col min="9" max="9" width="16.5546875" bestFit="1" customWidth="1"/>
  </cols>
  <sheetData>
    <row r="1" spans="1:39" ht="24.6">
      <c r="A1" s="159"/>
      <c r="B1" s="159"/>
      <c r="C1" s="159"/>
      <c r="D1" s="159"/>
      <c r="E1" s="159"/>
      <c r="F1" s="159"/>
      <c r="G1" s="159"/>
      <c r="H1" s="159"/>
      <c r="I1" s="15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9" ht="17.399999999999999">
      <c r="A2" s="160" t="s">
        <v>227</v>
      </c>
      <c r="B2" s="160"/>
      <c r="C2" s="160"/>
      <c r="D2" s="160"/>
      <c r="E2" s="160"/>
      <c r="F2" s="160"/>
      <c r="G2" s="160"/>
      <c r="H2" s="160"/>
      <c r="I2" s="160"/>
      <c r="J2" s="95" t="s">
        <v>198</v>
      </c>
      <c r="K2" s="1"/>
      <c r="L2" s="95" t="s">
        <v>197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9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9" ht="13.8" thickBot="1">
      <c r="A4" s="7"/>
      <c r="B4" s="1"/>
      <c r="C4" s="1"/>
      <c r="D4" s="1"/>
      <c r="E4" s="1"/>
      <c r="F4" s="1"/>
      <c r="G4" s="1"/>
      <c r="H4" s="1"/>
      <c r="I4" s="1"/>
      <c r="J4" s="1" t="s">
        <v>152</v>
      </c>
      <c r="K4" s="1" t="s">
        <v>151</v>
      </c>
      <c r="L4" s="1"/>
      <c r="M4" s="1" t="s">
        <v>11</v>
      </c>
      <c r="N4" s="1" t="s">
        <v>219</v>
      </c>
      <c r="O4" s="1"/>
      <c r="P4" s="1" t="s">
        <v>216</v>
      </c>
      <c r="Q4" s="1" t="s">
        <v>224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9">
      <c r="A5" s="161" t="s">
        <v>6</v>
      </c>
      <c r="B5" s="162"/>
      <c r="C5" s="163" t="s">
        <v>255</v>
      </c>
      <c r="D5" s="164"/>
      <c r="E5" s="164"/>
      <c r="F5" s="165"/>
      <c r="G5" s="1"/>
      <c r="H5" s="1"/>
      <c r="I5" s="36" t="s">
        <v>69</v>
      </c>
      <c r="J5" s="1">
        <v>17.57</v>
      </c>
      <c r="K5" s="1">
        <v>20.71</v>
      </c>
      <c r="L5" s="1"/>
      <c r="M5" s="1" t="s">
        <v>12</v>
      </c>
      <c r="N5" s="1" t="s">
        <v>220</v>
      </c>
      <c r="O5" s="1"/>
      <c r="P5" s="1" t="s">
        <v>217</v>
      </c>
      <c r="Q5" s="1" t="s">
        <v>222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9">
      <c r="A6" s="149" t="s">
        <v>7</v>
      </c>
      <c r="B6" s="150"/>
      <c r="C6" s="151" t="s">
        <v>230</v>
      </c>
      <c r="D6" s="152"/>
      <c r="E6" s="152"/>
      <c r="F6" s="153"/>
      <c r="G6" s="1"/>
      <c r="H6" s="1"/>
      <c r="I6" s="1"/>
      <c r="J6" s="1"/>
      <c r="K6" s="1"/>
      <c r="L6" s="1"/>
      <c r="M6" s="1" t="s">
        <v>15</v>
      </c>
      <c r="N6" s="1" t="s">
        <v>221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9">
      <c r="A7" s="149" t="s">
        <v>8</v>
      </c>
      <c r="B7" s="150"/>
      <c r="C7" s="151" t="s">
        <v>242</v>
      </c>
      <c r="D7" s="152"/>
      <c r="E7" s="152"/>
      <c r="F7" s="153"/>
      <c r="G7" s="1"/>
      <c r="H7" s="1"/>
      <c r="I7" s="1" t="s">
        <v>253</v>
      </c>
      <c r="J7" s="1"/>
      <c r="K7" s="1"/>
      <c r="L7" s="1"/>
      <c r="M7" s="1" t="s">
        <v>214</v>
      </c>
      <c r="N7" s="1" t="s">
        <v>222</v>
      </c>
      <c r="O7" s="1"/>
      <c r="P7" s="1" t="s">
        <v>225</v>
      </c>
      <c r="Q7" s="1" t="s">
        <v>226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9">
      <c r="A8" s="149" t="s">
        <v>9</v>
      </c>
      <c r="B8" s="150"/>
      <c r="C8" s="151" t="s">
        <v>104</v>
      </c>
      <c r="D8" s="152"/>
      <c r="E8" s="152"/>
      <c r="F8" s="153"/>
      <c r="G8" s="1"/>
      <c r="H8" s="1"/>
      <c r="I8" s="1"/>
      <c r="J8" s="1"/>
      <c r="K8" s="1"/>
      <c r="L8" s="1"/>
      <c r="M8" s="1" t="s">
        <v>215</v>
      </c>
      <c r="N8" s="1" t="s">
        <v>223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9" ht="13.8" thickBot="1">
      <c r="A9" s="154" t="s">
        <v>10</v>
      </c>
      <c r="B9" s="155"/>
      <c r="C9" s="156" t="s">
        <v>105</v>
      </c>
      <c r="D9" s="157"/>
      <c r="E9" s="157"/>
      <c r="F9" s="15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37"/>
      <c r="AL9" s="37"/>
      <c r="AM9" s="37"/>
    </row>
    <row r="10" spans="1:39" ht="13.8" thickBot="1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9"/>
      <c r="AL10" s="37"/>
      <c r="AM10" s="37"/>
    </row>
    <row r="11" spans="1:39" ht="13.8" thickBot="1">
      <c r="A11" s="8"/>
      <c r="B11" s="5"/>
      <c r="C11" s="5"/>
      <c r="D11" s="5"/>
      <c r="E11" s="20" t="s">
        <v>256</v>
      </c>
      <c r="F11" s="5"/>
      <c r="G11" s="5"/>
      <c r="H11" s="5"/>
      <c r="I11" s="6"/>
      <c r="J11" s="21"/>
      <c r="K11" s="9"/>
      <c r="L11" s="9"/>
      <c r="M11" s="9"/>
      <c r="N11" s="9"/>
      <c r="O11" s="9"/>
      <c r="P11" s="9"/>
      <c r="Q11" s="9"/>
      <c r="R11" s="9"/>
      <c r="S11" s="9"/>
      <c r="T11" s="45"/>
      <c r="U11" s="38"/>
      <c r="V11" s="38"/>
      <c r="W11" s="38"/>
      <c r="X11" s="38"/>
      <c r="Y11" s="38"/>
      <c r="Z11" s="38"/>
      <c r="AA11" s="38"/>
      <c r="AB11" s="38"/>
      <c r="AC11" s="38"/>
      <c r="AD11" s="40"/>
      <c r="AE11" s="38"/>
      <c r="AF11" s="38"/>
      <c r="AG11" s="38"/>
      <c r="AH11" s="38"/>
      <c r="AI11" s="40"/>
      <c r="AJ11" s="38"/>
      <c r="AK11" s="39"/>
      <c r="AL11" s="37"/>
      <c r="AM11" s="37"/>
    </row>
    <row r="12" spans="1:39" ht="13.8" thickBot="1">
      <c r="A12" s="2" t="s">
        <v>0</v>
      </c>
      <c r="B12" s="3" t="s">
        <v>1</v>
      </c>
      <c r="C12" s="3" t="s">
        <v>252</v>
      </c>
      <c r="D12" s="3" t="s">
        <v>111</v>
      </c>
      <c r="E12" s="3" t="s">
        <v>238</v>
      </c>
      <c r="F12" s="3" t="s">
        <v>16</v>
      </c>
      <c r="G12" s="3" t="s">
        <v>3</v>
      </c>
      <c r="H12" s="3" t="s">
        <v>4</v>
      </c>
      <c r="I12" s="4" t="s">
        <v>5</v>
      </c>
      <c r="J12" s="2" t="s">
        <v>11</v>
      </c>
      <c r="K12" s="3" t="s">
        <v>12</v>
      </c>
      <c r="L12" s="3" t="s">
        <v>13</v>
      </c>
      <c r="M12" s="3" t="s">
        <v>66</v>
      </c>
      <c r="N12" s="3" t="s">
        <v>65</v>
      </c>
      <c r="O12" s="3" t="s">
        <v>67</v>
      </c>
      <c r="P12" s="3" t="s">
        <v>68</v>
      </c>
      <c r="Q12" s="3" t="s">
        <v>59</v>
      </c>
      <c r="R12" s="3" t="s">
        <v>60</v>
      </c>
      <c r="S12" s="3" t="s">
        <v>22</v>
      </c>
      <c r="T12" s="46" t="s">
        <v>14</v>
      </c>
      <c r="U12" s="41"/>
      <c r="V12" s="41"/>
      <c r="W12" s="41"/>
      <c r="X12" s="41"/>
      <c r="Y12" s="42"/>
      <c r="Z12" s="41"/>
      <c r="AA12" s="41"/>
      <c r="AB12" s="41"/>
      <c r="AC12" s="41"/>
      <c r="AD12" s="42"/>
      <c r="AE12" s="41"/>
      <c r="AF12" s="41"/>
      <c r="AG12" s="41"/>
      <c r="AH12" s="41"/>
      <c r="AI12" s="42"/>
      <c r="AJ12" s="43"/>
      <c r="AK12" s="39"/>
      <c r="AL12" s="37"/>
      <c r="AM12" s="37"/>
    </row>
    <row r="13" spans="1:39">
      <c r="A13" s="19">
        <f t="shared" ref="A13:A27" si="0">RANK(T13,$T$13:$T$27,0)</f>
        <v>1</v>
      </c>
      <c r="B13" s="22">
        <v>134</v>
      </c>
      <c r="C13" s="22">
        <v>12</v>
      </c>
      <c r="D13" s="22" t="s">
        <v>236</v>
      </c>
      <c r="E13" s="22">
        <v>2528719</v>
      </c>
      <c r="F13" s="22"/>
      <c r="G13" s="22" t="s">
        <v>240</v>
      </c>
      <c r="H13" s="22" t="s">
        <v>251</v>
      </c>
      <c r="I13" s="23"/>
      <c r="J13" s="24">
        <v>3.9</v>
      </c>
      <c r="K13" s="25">
        <v>3.7</v>
      </c>
      <c r="L13" s="25">
        <v>4</v>
      </c>
      <c r="M13" s="51">
        <v>2</v>
      </c>
      <c r="N13" s="51">
        <v>1.7</v>
      </c>
      <c r="O13" s="49">
        <v>1.8</v>
      </c>
      <c r="P13" s="49">
        <v>1.6</v>
      </c>
      <c r="Q13" s="49" t="s">
        <v>270</v>
      </c>
      <c r="R13" s="49" t="s">
        <v>61</v>
      </c>
      <c r="S13" s="25">
        <v>21.67</v>
      </c>
      <c r="T13" s="26">
        <f>(J13+K13+L13)+IF((VLOOKUP(Q13,MogulsDD!$A$1:$D$1000,4,FALSE)*(M13+O13)/2)&gt;3.75,3.75,VLOOKUP(Q13,MogulsDD!$A$1:$D$1000,4,FALSE)*(M13+O13)/2)+IF((VLOOKUP(R13,MogulsDD!$A$1:$D$1000,4,FALSE)*(N13+P13)/2)&gt;3.75,3.75,VLOOKUP(R13,MogulsDD!$A$1:$D$1000,4,FALSE)*(N13+P13)/2)+IF((18-12*S13/$K$5)&gt;7.5,7.5,IF((18-12*S13/$K$5)&lt;0,0,(18-12*S13/$K$5)))</f>
        <v>21.303746982134236</v>
      </c>
      <c r="U13" s="38"/>
      <c r="V13" s="38"/>
      <c r="W13" s="38"/>
      <c r="X13" s="38"/>
      <c r="Y13" s="39"/>
      <c r="Z13" s="38"/>
      <c r="AA13" s="38"/>
      <c r="AB13" s="38"/>
      <c r="AC13" s="38"/>
      <c r="AD13" s="39"/>
      <c r="AE13" s="38"/>
      <c r="AF13" s="38"/>
      <c r="AG13" s="38"/>
      <c r="AH13" s="38"/>
      <c r="AI13" s="39"/>
      <c r="AJ13" s="44"/>
      <c r="AK13" s="39"/>
      <c r="AL13" s="37"/>
      <c r="AM13" s="37"/>
    </row>
    <row r="14" spans="1:39">
      <c r="A14" s="19">
        <f t="shared" si="0"/>
        <v>2</v>
      </c>
      <c r="B14" s="22">
        <v>61</v>
      </c>
      <c r="C14" s="22">
        <v>7</v>
      </c>
      <c r="D14" s="22" t="s">
        <v>176</v>
      </c>
      <c r="E14" s="22">
        <v>2531087</v>
      </c>
      <c r="F14" s="22" t="s">
        <v>173</v>
      </c>
      <c r="G14" s="22" t="s">
        <v>239</v>
      </c>
      <c r="H14" s="22" t="s">
        <v>177</v>
      </c>
      <c r="I14" s="23" t="s">
        <v>178</v>
      </c>
      <c r="J14" s="27">
        <v>4</v>
      </c>
      <c r="K14" s="28">
        <v>3.9</v>
      </c>
      <c r="L14" s="28">
        <v>3.4</v>
      </c>
      <c r="M14" s="52">
        <v>1.6</v>
      </c>
      <c r="N14" s="52">
        <v>1.8</v>
      </c>
      <c r="O14" s="49">
        <v>1.7</v>
      </c>
      <c r="P14" s="49">
        <v>1.6</v>
      </c>
      <c r="Q14" s="49" t="s">
        <v>275</v>
      </c>
      <c r="R14" s="49" t="s">
        <v>279</v>
      </c>
      <c r="S14" s="25">
        <v>19.86</v>
      </c>
      <c r="T14" s="26">
        <f>(J14+K14+L14)+IF((VLOOKUP(Q14,MogulsDD!$A$1:$D$1000,4,FALSE)*(M14+O14)/2)&gt;3.75,3.75,VLOOKUP(Q14,MogulsDD!$A$1:$D$1000,4,FALSE)*(M14+O14)/2)+IF((VLOOKUP(R14,MogulsDD!$A$1:$D$1000,4,FALSE)*(N14+P14)/2)&gt;3.75,3.75,VLOOKUP(R14,MogulsDD!$A$1:$D$1000,4,FALSE)*(N14+P14)/2)+IF((18-12*S14/$K$5)&gt;7.5,7.5,IF((18-12*S14/$K$5)&lt;0,0,(18-12*S14/$K$5)))</f>
        <v>20.635515692901983</v>
      </c>
      <c r="U14" s="38"/>
      <c r="V14" s="38"/>
      <c r="W14" s="38"/>
      <c r="X14" s="38"/>
      <c r="Y14" s="39"/>
      <c r="Z14" s="38"/>
      <c r="AA14" s="38"/>
      <c r="AB14" s="38"/>
      <c r="AC14" s="38"/>
      <c r="AD14" s="39"/>
      <c r="AE14" s="38"/>
      <c r="AF14" s="38"/>
      <c r="AG14" s="38"/>
      <c r="AH14" s="38"/>
      <c r="AI14" s="39"/>
      <c r="AJ14" s="44"/>
      <c r="AK14" s="39"/>
      <c r="AL14" s="37"/>
      <c r="AM14" s="37"/>
    </row>
    <row r="15" spans="1:39">
      <c r="A15" s="19">
        <f t="shared" si="0"/>
        <v>3</v>
      </c>
      <c r="B15" s="22">
        <v>21</v>
      </c>
      <c r="C15" s="22">
        <v>10</v>
      </c>
      <c r="D15" s="22" t="s">
        <v>182</v>
      </c>
      <c r="E15" s="22">
        <v>2530097</v>
      </c>
      <c r="F15" s="22" t="s">
        <v>173</v>
      </c>
      <c r="G15" s="22" t="s">
        <v>239</v>
      </c>
      <c r="H15" s="22" t="s">
        <v>183</v>
      </c>
      <c r="I15" s="23" t="s">
        <v>115</v>
      </c>
      <c r="J15" s="27">
        <v>3.2</v>
      </c>
      <c r="K15" s="28">
        <v>3.3</v>
      </c>
      <c r="L15" s="28">
        <v>3.3</v>
      </c>
      <c r="M15" s="52">
        <v>1.8</v>
      </c>
      <c r="N15" s="52">
        <v>1.4</v>
      </c>
      <c r="O15" s="49">
        <v>1.7</v>
      </c>
      <c r="P15" s="49">
        <v>1.6</v>
      </c>
      <c r="Q15" s="49" t="s">
        <v>61</v>
      </c>
      <c r="R15" s="49" t="s">
        <v>273</v>
      </c>
      <c r="S15" s="25">
        <v>21.64</v>
      </c>
      <c r="T15" s="26">
        <f>(J15+K15+L15)+IF((VLOOKUP(Q15,MogulsDD!$A$1:$D$1000,4,FALSE)*(M15+O15)/2)&gt;3.75,3.75,VLOOKUP(Q15,MogulsDD!$A$1:$D$1000,4,FALSE)*(M15+O15)/2)+IF((VLOOKUP(R15,MogulsDD!$A$1:$D$1000,4,FALSE)*(N15+P15)/2)&gt;3.75,3.75,VLOOKUP(R15,MogulsDD!$A$1:$D$1000,4,FALSE)*(N15+P15)/2)+IF((18-12*S15/$K$5)&gt;7.5,7.5,IF((18-12*S15/$K$5)&lt;0,0,(18-12*S15/$K$5)))</f>
        <v>18.711129888942541</v>
      </c>
      <c r="U15" s="38"/>
      <c r="V15" s="38"/>
      <c r="W15" s="38"/>
      <c r="X15" s="38"/>
      <c r="Y15" s="39"/>
      <c r="Z15" s="38"/>
      <c r="AA15" s="38"/>
      <c r="AB15" s="38"/>
      <c r="AC15" s="38"/>
      <c r="AD15" s="39"/>
      <c r="AE15" s="38"/>
      <c r="AF15" s="38"/>
      <c r="AG15" s="38"/>
      <c r="AH15" s="38"/>
      <c r="AI15" s="39"/>
      <c r="AJ15" s="44"/>
      <c r="AK15" s="39"/>
      <c r="AL15" s="37"/>
      <c r="AM15" s="37"/>
    </row>
    <row r="16" spans="1:39">
      <c r="A16" s="19">
        <f t="shared" si="0"/>
        <v>4</v>
      </c>
      <c r="B16" s="22">
        <v>38</v>
      </c>
      <c r="C16" s="22">
        <v>3</v>
      </c>
      <c r="D16" s="22" t="s">
        <v>179</v>
      </c>
      <c r="E16" s="22">
        <v>2530095</v>
      </c>
      <c r="F16" s="22" t="s">
        <v>173</v>
      </c>
      <c r="G16" s="22" t="s">
        <v>239</v>
      </c>
      <c r="H16" s="22" t="s">
        <v>180</v>
      </c>
      <c r="I16" s="23" t="s">
        <v>181</v>
      </c>
      <c r="J16" s="27">
        <v>3.4</v>
      </c>
      <c r="K16" s="28">
        <v>3.3</v>
      </c>
      <c r="L16" s="28">
        <v>2.6</v>
      </c>
      <c r="M16" s="52">
        <v>1.8</v>
      </c>
      <c r="N16" s="52">
        <v>1.4</v>
      </c>
      <c r="O16" s="49">
        <v>2</v>
      </c>
      <c r="P16" s="49">
        <v>1.6</v>
      </c>
      <c r="Q16" s="49" t="s">
        <v>273</v>
      </c>
      <c r="R16" s="49" t="s">
        <v>279</v>
      </c>
      <c r="S16" s="25">
        <v>20.28</v>
      </c>
      <c r="T16" s="26">
        <f>(J16+K16+L16)+IF((VLOOKUP(Q16,MogulsDD!$A$1:$D$1000,4,FALSE)*(M16+O16)/2)&gt;3.75,3.75,VLOOKUP(Q16,MogulsDD!$A$1:$D$1000,4,FALSE)*(M16+O16)/2)+IF((VLOOKUP(R16,MogulsDD!$A$1:$D$1000,4,FALSE)*(N16+P16)/2)&gt;3.75,3.75,VLOOKUP(R16,MogulsDD!$A$1:$D$1000,4,FALSE)*(N16+P16)/2)+IF((18-12*S16/$K$5)&gt;7.5,7.5,IF((18-12*S16/$K$5)&lt;0,0,(18-12*S16/$K$5)))</f>
        <v>18.399154997585704</v>
      </c>
      <c r="U16" s="38"/>
      <c r="V16" s="38"/>
      <c r="W16" s="38"/>
      <c r="X16" s="38"/>
      <c r="Y16" s="39"/>
      <c r="Z16" s="38"/>
      <c r="AA16" s="38"/>
      <c r="AB16" s="38"/>
      <c r="AC16" s="38"/>
      <c r="AD16" s="39"/>
      <c r="AE16" s="38"/>
      <c r="AF16" s="38"/>
      <c r="AG16" s="38"/>
      <c r="AH16" s="38"/>
      <c r="AI16" s="39"/>
      <c r="AJ16" s="44"/>
      <c r="AK16" s="39"/>
      <c r="AL16" s="37"/>
      <c r="AM16" s="37"/>
    </row>
    <row r="17" spans="1:39">
      <c r="A17" s="19">
        <f t="shared" si="0"/>
        <v>5</v>
      </c>
      <c r="B17" s="22">
        <v>113</v>
      </c>
      <c r="C17" s="22">
        <v>1</v>
      </c>
      <c r="D17" s="22" t="s">
        <v>235</v>
      </c>
      <c r="E17" s="22"/>
      <c r="F17" s="22"/>
      <c r="G17" s="22" t="s">
        <v>240</v>
      </c>
      <c r="H17" s="22" t="s">
        <v>250</v>
      </c>
      <c r="I17" s="23"/>
      <c r="J17" s="27">
        <v>3.1</v>
      </c>
      <c r="K17" s="28">
        <v>2.7</v>
      </c>
      <c r="L17" s="28">
        <v>2.8</v>
      </c>
      <c r="M17" s="52">
        <v>1.7</v>
      </c>
      <c r="N17" s="52">
        <v>1.7</v>
      </c>
      <c r="O17" s="49">
        <v>1.5</v>
      </c>
      <c r="P17" s="49">
        <v>1.4</v>
      </c>
      <c r="Q17" s="54" t="s">
        <v>274</v>
      </c>
      <c r="R17" s="54" t="s">
        <v>276</v>
      </c>
      <c r="S17" s="25">
        <v>21.65</v>
      </c>
      <c r="T17" s="26">
        <f>(J17+K17+L17)+IF((VLOOKUP(Q17,MogulsDD!$A$1:$D$1000,4,FALSE)*(M17+O17)/2)&gt;3.75,3.75,VLOOKUP(Q17,MogulsDD!$A$1:$D$1000,4,FALSE)*(M17+O17)/2)+IF((VLOOKUP(R17,MogulsDD!$A$1:$D$1000,4,FALSE)*(N17+P17)/2)&gt;3.75,3.75,VLOOKUP(R17,MogulsDD!$A$1:$D$1000,4,FALSE)*(N17+P17)/2)+IF((18-12*S17/$K$5)&gt;7.5,7.5,IF((18-12*S17/$K$5)&lt;0,0,(18-12*S17/$K$5)))</f>
        <v>17.147335586673108</v>
      </c>
      <c r="U17" s="38"/>
      <c r="V17" s="38"/>
      <c r="W17" s="38"/>
      <c r="X17" s="38"/>
      <c r="Y17" s="39"/>
      <c r="Z17" s="38"/>
      <c r="AA17" s="38"/>
      <c r="AB17" s="38"/>
      <c r="AC17" s="38"/>
      <c r="AD17" s="39"/>
      <c r="AE17" s="38"/>
      <c r="AF17" s="38"/>
      <c r="AG17" s="38"/>
      <c r="AH17" s="38"/>
      <c r="AI17" s="39"/>
      <c r="AJ17" s="44"/>
      <c r="AK17" s="39"/>
      <c r="AL17" s="37"/>
      <c r="AM17" s="37"/>
    </row>
    <row r="18" spans="1:39" ht="13.8" thickBot="1">
      <c r="A18" s="19">
        <f t="shared" si="0"/>
        <v>6</v>
      </c>
      <c r="B18" s="14">
        <v>85</v>
      </c>
      <c r="C18" s="22">
        <v>4</v>
      </c>
      <c r="D18" s="14" t="s">
        <v>212</v>
      </c>
      <c r="E18" s="22">
        <v>2532171</v>
      </c>
      <c r="F18" s="14" t="s">
        <v>206</v>
      </c>
      <c r="G18" s="14" t="s">
        <v>207</v>
      </c>
      <c r="H18" s="111" t="s">
        <v>245</v>
      </c>
      <c r="I18" s="18" t="s">
        <v>213</v>
      </c>
      <c r="J18" s="29">
        <v>2.9</v>
      </c>
      <c r="K18" s="30">
        <v>3</v>
      </c>
      <c r="L18" s="30">
        <v>2.8</v>
      </c>
      <c r="M18" s="53">
        <v>1.6</v>
      </c>
      <c r="N18" s="53">
        <v>1.3</v>
      </c>
      <c r="O18" s="50">
        <v>1.8</v>
      </c>
      <c r="P18" s="50">
        <v>1.2</v>
      </c>
      <c r="Q18" s="49" t="s">
        <v>61</v>
      </c>
      <c r="R18" s="49" t="s">
        <v>272</v>
      </c>
      <c r="S18" s="25">
        <v>22.89</v>
      </c>
      <c r="T18" s="26">
        <f>(J18+K18+L18)+IF((VLOOKUP(Q18,MogulsDD!$A$1:$D$1000,4,FALSE)*(M18+O18)/2)&gt;3.75,3.75,VLOOKUP(Q18,MogulsDD!$A$1:$D$1000,4,FALSE)*(M18+O18)/2)+IF((VLOOKUP(R18,MogulsDD!$A$1:$D$1000,4,FALSE)*(N18+P18)/2)&gt;3.75,3.75,VLOOKUP(R18,MogulsDD!$A$1:$D$1000,4,FALSE)*(N18+P18)/2)+IF((18-12*S18/$K$5)&gt;7.5,7.5,IF((18-12*S18/$K$5)&lt;0,0,(18-12*S18/$K$5)))</f>
        <v>17.039342105263156</v>
      </c>
      <c r="U18" s="38"/>
      <c r="V18" s="38"/>
      <c r="W18" s="38"/>
      <c r="X18" s="38"/>
      <c r="Y18" s="39"/>
      <c r="Z18" s="38"/>
      <c r="AA18" s="38"/>
      <c r="AB18" s="38"/>
      <c r="AC18" s="38"/>
      <c r="AD18" s="39"/>
      <c r="AE18" s="38"/>
      <c r="AF18" s="38"/>
      <c r="AG18" s="38"/>
      <c r="AH18" s="38"/>
      <c r="AI18" s="39"/>
      <c r="AJ18" s="44"/>
      <c r="AK18" s="39"/>
      <c r="AL18" s="37"/>
      <c r="AM18" s="37"/>
    </row>
    <row r="19" spans="1:39">
      <c r="A19" s="19">
        <f t="shared" si="0"/>
        <v>7</v>
      </c>
      <c r="B19" s="22">
        <v>87</v>
      </c>
      <c r="C19" s="22">
        <v>13</v>
      </c>
      <c r="D19" s="22" t="s">
        <v>153</v>
      </c>
      <c r="E19" s="22"/>
      <c r="F19" s="22" t="s">
        <v>154</v>
      </c>
      <c r="G19" s="22" t="s">
        <v>122</v>
      </c>
      <c r="H19" s="22" t="s">
        <v>155</v>
      </c>
      <c r="I19" s="23" t="s">
        <v>133</v>
      </c>
      <c r="J19" s="24">
        <v>3.2</v>
      </c>
      <c r="K19" s="25">
        <v>3.3</v>
      </c>
      <c r="L19" s="25">
        <v>2.6</v>
      </c>
      <c r="M19" s="51">
        <v>0.7</v>
      </c>
      <c r="N19" s="51">
        <v>0.7</v>
      </c>
      <c r="O19" s="49">
        <v>0.7</v>
      </c>
      <c r="P19" s="49">
        <v>0.9</v>
      </c>
      <c r="Q19" s="49" t="s">
        <v>279</v>
      </c>
      <c r="R19" s="49" t="s">
        <v>61</v>
      </c>
      <c r="S19" s="25">
        <v>21.42</v>
      </c>
      <c r="T19" s="26">
        <f>(J19+K19+L19)+IF((VLOOKUP(Q19,MogulsDD!$A$1:$D$1000,4,FALSE)*(M19+O19)/2)&gt;3.75,3.75,VLOOKUP(Q19,MogulsDD!$A$1:$D$1000,4,FALSE)*(M19+O19)/2)+IF((VLOOKUP(R19,MogulsDD!$A$1:$D$1000,4,FALSE)*(N19+P19)/2)&gt;3.75,3.75,VLOOKUP(R19,MogulsDD!$A$1:$D$1000,4,FALSE)*(N19+P19)/2)+IF((18-12*S19/$K$5)&gt;7.5,7.5,IF((18-12*S19/$K$5)&lt;0,0,(18-12*S19/$K$5)))</f>
        <v>16.18060453887011</v>
      </c>
      <c r="U19" s="38"/>
      <c r="V19" s="38"/>
      <c r="W19" s="38"/>
      <c r="X19" s="38"/>
      <c r="Y19" s="39"/>
      <c r="Z19" s="38"/>
      <c r="AA19" s="38"/>
      <c r="AB19" s="38"/>
      <c r="AC19" s="38"/>
      <c r="AD19" s="39"/>
      <c r="AE19" s="38"/>
      <c r="AF19" s="38"/>
      <c r="AG19" s="38"/>
      <c r="AH19" s="38"/>
      <c r="AI19" s="39"/>
      <c r="AJ19" s="44"/>
      <c r="AK19" s="39"/>
      <c r="AL19" s="37"/>
      <c r="AM19" s="37"/>
    </row>
    <row r="20" spans="1:39">
      <c r="A20" s="19">
        <f t="shared" si="0"/>
        <v>8</v>
      </c>
      <c r="B20" s="22">
        <v>99</v>
      </c>
      <c r="C20" s="22">
        <v>6</v>
      </c>
      <c r="D20" s="22" t="s">
        <v>184</v>
      </c>
      <c r="E20" s="22"/>
      <c r="F20" s="22" t="s">
        <v>185</v>
      </c>
      <c r="G20" s="22" t="s">
        <v>122</v>
      </c>
      <c r="H20" s="22" t="s">
        <v>186</v>
      </c>
      <c r="I20" s="23" t="s">
        <v>187</v>
      </c>
      <c r="J20" s="27">
        <v>2.7</v>
      </c>
      <c r="K20" s="28">
        <v>2.6</v>
      </c>
      <c r="L20" s="28">
        <v>2.2999999999999998</v>
      </c>
      <c r="M20" s="52">
        <v>0</v>
      </c>
      <c r="N20" s="52">
        <v>1.8</v>
      </c>
      <c r="O20" s="49">
        <v>0</v>
      </c>
      <c r="P20" s="49">
        <v>1.4</v>
      </c>
      <c r="Q20" s="49" t="s">
        <v>280</v>
      </c>
      <c r="R20" s="49" t="s">
        <v>279</v>
      </c>
      <c r="S20" s="25">
        <v>19.16</v>
      </c>
      <c r="T20" s="26">
        <f>(J20+K20+L20)+IF((VLOOKUP(Q20,MogulsDD!$A$1:$D$1000,4,FALSE)*(M20+O20)/2)&gt;3.75,3.75,VLOOKUP(Q20,MogulsDD!$A$1:$D$1000,4,FALSE)*(M20+O20)/2)+IF((VLOOKUP(R20,MogulsDD!$A$1:$D$1000,4,FALSE)*(N20+P20)/2)&gt;3.75,3.75,VLOOKUP(R20,MogulsDD!$A$1:$D$1000,4,FALSE)*(N20+P20)/2)+IF((18-12*S20/$K$5)&gt;7.5,7.5,IF((18-12*S20/$K$5)&lt;0,0,(18-12*S20/$K$5)))</f>
        <v>15.714116851762434</v>
      </c>
      <c r="U20" s="38"/>
      <c r="V20" s="38"/>
      <c r="W20" s="38"/>
      <c r="X20" s="38"/>
      <c r="Y20" s="39"/>
      <c r="Z20" s="38"/>
      <c r="AA20" s="38"/>
      <c r="AB20" s="38"/>
      <c r="AC20" s="38"/>
      <c r="AD20" s="39"/>
      <c r="AE20" s="38"/>
      <c r="AF20" s="38"/>
      <c r="AG20" s="38"/>
      <c r="AH20" s="38"/>
      <c r="AI20" s="39"/>
      <c r="AJ20" s="44"/>
      <c r="AK20" s="39"/>
      <c r="AL20" s="37"/>
      <c r="AM20" s="37"/>
    </row>
    <row r="21" spans="1:39">
      <c r="A21" s="19">
        <f t="shared" si="0"/>
        <v>9</v>
      </c>
      <c r="B21" s="22">
        <v>124</v>
      </c>
      <c r="C21" s="22">
        <v>5</v>
      </c>
      <c r="D21" s="22" t="s">
        <v>241</v>
      </c>
      <c r="E21" s="22"/>
      <c r="F21" s="22">
        <v>22352</v>
      </c>
      <c r="G21" s="22" t="s">
        <v>122</v>
      </c>
      <c r="H21" s="22" t="s">
        <v>127</v>
      </c>
      <c r="I21" s="23" t="s">
        <v>128</v>
      </c>
      <c r="J21" s="27">
        <v>3</v>
      </c>
      <c r="K21" s="28">
        <v>2.8</v>
      </c>
      <c r="L21" s="28">
        <v>2.6</v>
      </c>
      <c r="M21" s="52">
        <v>1.5</v>
      </c>
      <c r="N21" s="52">
        <v>0</v>
      </c>
      <c r="O21" s="49">
        <v>1.6</v>
      </c>
      <c r="P21" s="49">
        <v>0</v>
      </c>
      <c r="Q21" s="49" t="s">
        <v>279</v>
      </c>
      <c r="R21" s="49" t="s">
        <v>63</v>
      </c>
      <c r="S21" s="25">
        <v>22.27</v>
      </c>
      <c r="T21" s="26">
        <f>(J21+K21+L21)+IF((VLOOKUP(Q21,MogulsDD!$A$1:$D$1000,4,FALSE)*(M21+O21)/2)&gt;3.75,3.75,VLOOKUP(Q21,MogulsDD!$A$1:$D$1000,4,FALSE)*(M21+O21)/2)+IF((VLOOKUP(R21,MogulsDD!$A$1:$D$1000,4,FALSE)*(N21+P21)/2)&gt;3.75,3.75,VLOOKUP(R21,MogulsDD!$A$1:$D$1000,4,FALSE)*(N21+P21)/2)+IF((18-12*S21/$K$5)&gt;7.5,7.5,IF((18-12*S21/$K$5)&lt;0,0,(18-12*S21/$K$5)))</f>
        <v>14.674088845968132</v>
      </c>
      <c r="U21" s="38"/>
      <c r="V21" s="38"/>
      <c r="W21" s="38"/>
      <c r="X21" s="38"/>
      <c r="Y21" s="39"/>
      <c r="Z21" s="38"/>
      <c r="AA21" s="38"/>
      <c r="AB21" s="38"/>
      <c r="AC21" s="38"/>
      <c r="AD21" s="39"/>
      <c r="AE21" s="38"/>
      <c r="AF21" s="38"/>
      <c r="AG21" s="38"/>
      <c r="AH21" s="38"/>
      <c r="AI21" s="39"/>
      <c r="AJ21" s="44"/>
      <c r="AK21" s="39"/>
      <c r="AL21" s="37"/>
      <c r="AM21" s="37"/>
    </row>
    <row r="22" spans="1:39">
      <c r="A22" s="19">
        <f t="shared" si="0"/>
        <v>10</v>
      </c>
      <c r="B22" s="22">
        <v>62</v>
      </c>
      <c r="C22" s="22">
        <v>2</v>
      </c>
      <c r="D22" s="22" t="s">
        <v>231</v>
      </c>
      <c r="E22" s="22"/>
      <c r="F22" s="22"/>
      <c r="G22" s="22" t="s">
        <v>240</v>
      </c>
      <c r="H22" s="22" t="s">
        <v>246</v>
      </c>
      <c r="I22" s="23"/>
      <c r="J22" s="27">
        <v>2.1</v>
      </c>
      <c r="K22" s="28">
        <v>1.9</v>
      </c>
      <c r="L22" s="28">
        <v>2.1</v>
      </c>
      <c r="M22" s="52">
        <v>1.7</v>
      </c>
      <c r="N22" s="52">
        <v>0.1</v>
      </c>
      <c r="O22" s="49">
        <v>1.4</v>
      </c>
      <c r="P22" s="49">
        <v>0.1</v>
      </c>
      <c r="Q22" s="49" t="s">
        <v>279</v>
      </c>
      <c r="R22" s="49" t="s">
        <v>276</v>
      </c>
      <c r="S22" s="25">
        <v>24.21</v>
      </c>
      <c r="T22" s="26">
        <f>(J22+K22+L22)+IF((VLOOKUP(Q22,MogulsDD!$A$1:$D$1000,4,FALSE)*(M22+O22)/2)&gt;3.75,3.75,VLOOKUP(Q22,MogulsDD!$A$1:$D$1000,4,FALSE)*(M22+O22)/2)+IF((VLOOKUP(R22,MogulsDD!$A$1:$D$1000,4,FALSE)*(N22+P22)/2)&gt;3.75,3.75,VLOOKUP(R22,MogulsDD!$A$1:$D$1000,4,FALSE)*(N22+P22)/2)+IF((18-12*S22/$K$5)&gt;7.5,7.5,IF((18-12*S22/$K$5)&lt;0,0,(18-12*S22/$K$5)))</f>
        <v>11.369994205697731</v>
      </c>
      <c r="U22" s="38"/>
      <c r="V22" s="38"/>
      <c r="W22" s="38"/>
      <c r="X22" s="38"/>
      <c r="Y22" s="39"/>
      <c r="Z22" s="38"/>
      <c r="AA22" s="38"/>
      <c r="AB22" s="38"/>
      <c r="AC22" s="38"/>
      <c r="AD22" s="39"/>
      <c r="AE22" s="38"/>
      <c r="AF22" s="38"/>
      <c r="AG22" s="38"/>
      <c r="AH22" s="38"/>
      <c r="AI22" s="39"/>
      <c r="AJ22" s="44"/>
      <c r="AK22" s="39"/>
      <c r="AL22" s="37"/>
      <c r="AM22" s="37"/>
    </row>
    <row r="23" spans="1:39">
      <c r="A23" s="19">
        <f t="shared" si="0"/>
        <v>11</v>
      </c>
      <c r="B23" s="22">
        <v>86</v>
      </c>
      <c r="C23" s="22">
        <v>8</v>
      </c>
      <c r="D23" s="22" t="s">
        <v>233</v>
      </c>
      <c r="E23" s="22"/>
      <c r="F23" s="22"/>
      <c r="G23" s="22" t="s">
        <v>240</v>
      </c>
      <c r="H23" s="100" t="s">
        <v>248</v>
      </c>
      <c r="I23" s="23"/>
      <c r="J23" s="27">
        <v>1.3</v>
      </c>
      <c r="K23" s="28">
        <v>1.4</v>
      </c>
      <c r="L23" s="28">
        <v>1.5</v>
      </c>
      <c r="M23" s="52">
        <v>1.1000000000000001</v>
      </c>
      <c r="N23" s="52">
        <v>1.4</v>
      </c>
      <c r="O23" s="49">
        <v>1.2</v>
      </c>
      <c r="P23" s="49">
        <v>1</v>
      </c>
      <c r="Q23" s="49" t="s">
        <v>279</v>
      </c>
      <c r="R23" s="49" t="s">
        <v>276</v>
      </c>
      <c r="S23" s="25">
        <v>29.68</v>
      </c>
      <c r="T23" s="26">
        <f>(J23+K23+L23)+IF((VLOOKUP(Q23,MogulsDD!$A$1:$D$1000,4,FALSE)*(M23+O23)/2)&gt;3.75,3.75,VLOOKUP(Q23,MogulsDD!$A$1:$D$1000,4,FALSE)*(M23+O23)/2)+IF((VLOOKUP(R23,MogulsDD!$A$1:$D$1000,4,FALSE)*(N23+P23)/2)&gt;3.75,3.75,VLOOKUP(R23,MogulsDD!$A$1:$D$1000,4,FALSE)*(N23+P23)/2)+IF((18-12*S23/$K$5)&gt;7.5,7.5,IF((18-12*S23/$K$5)&lt;0,0,(18-12*S23/$K$5)))</f>
        <v>7.3165108643167578</v>
      </c>
      <c r="U23" s="38"/>
      <c r="V23" s="38"/>
      <c r="W23" s="38"/>
      <c r="X23" s="38"/>
      <c r="Y23" s="39"/>
      <c r="Z23" s="38"/>
      <c r="AA23" s="38"/>
      <c r="AB23" s="38"/>
      <c r="AC23" s="38"/>
      <c r="AD23" s="39"/>
      <c r="AE23" s="38"/>
      <c r="AF23" s="38"/>
      <c r="AG23" s="38"/>
      <c r="AH23" s="38"/>
      <c r="AI23" s="39"/>
      <c r="AJ23" s="44"/>
      <c r="AK23" s="39"/>
      <c r="AL23" s="37"/>
      <c r="AM23" s="37"/>
    </row>
    <row r="24" spans="1:39">
      <c r="A24" s="19">
        <f t="shared" si="0"/>
        <v>12</v>
      </c>
      <c r="B24" s="22">
        <v>72</v>
      </c>
      <c r="C24" s="22">
        <v>9</v>
      </c>
      <c r="D24" s="22" t="s">
        <v>234</v>
      </c>
      <c r="E24" s="22"/>
      <c r="F24" s="22"/>
      <c r="G24" s="22" t="s">
        <v>240</v>
      </c>
      <c r="H24" s="22" t="s">
        <v>249</v>
      </c>
      <c r="I24" s="23"/>
      <c r="J24" s="27">
        <v>1.3</v>
      </c>
      <c r="K24" s="28">
        <v>1.5</v>
      </c>
      <c r="L24" s="28">
        <v>1.2</v>
      </c>
      <c r="M24" s="52">
        <v>0</v>
      </c>
      <c r="N24" s="52">
        <v>0.4</v>
      </c>
      <c r="O24" s="49">
        <v>0</v>
      </c>
      <c r="P24" s="49">
        <v>0.4</v>
      </c>
      <c r="Q24" s="49" t="s">
        <v>280</v>
      </c>
      <c r="R24" s="49" t="s">
        <v>279</v>
      </c>
      <c r="S24" s="25">
        <v>26.02</v>
      </c>
      <c r="T24" s="26">
        <f>(J24+K24+L24)+IF((VLOOKUP(Q24,MogulsDD!$A$1:$D$1000,4,FALSE)*(M24+O24)/2)&gt;3.75,3.75,VLOOKUP(Q24,MogulsDD!$A$1:$D$1000,4,FALSE)*(M24+O24)/2)+IF((VLOOKUP(R24,MogulsDD!$A$1:$D$1000,4,FALSE)*(N24+P24)/2)&gt;3.75,3.75,VLOOKUP(R24,MogulsDD!$A$1:$D$1000,4,FALSE)*(N24+P24)/2)+IF((18-12*S24/$K$5)&gt;7.5,7.5,IF((18-12*S24/$K$5)&lt;0,0,(18-12*S24/$K$5)))</f>
        <v>7.2272254949299857</v>
      </c>
      <c r="U24" s="38"/>
      <c r="V24" s="38"/>
      <c r="W24" s="38"/>
      <c r="X24" s="38"/>
      <c r="Y24" s="39"/>
      <c r="Z24" s="38"/>
      <c r="AA24" s="38"/>
      <c r="AB24" s="38"/>
      <c r="AC24" s="38"/>
      <c r="AD24" s="39"/>
      <c r="AE24" s="38"/>
      <c r="AF24" s="38"/>
      <c r="AG24" s="38"/>
      <c r="AH24" s="38"/>
      <c r="AI24" s="39"/>
      <c r="AJ24" s="44"/>
      <c r="AK24" s="39"/>
      <c r="AL24" s="37"/>
      <c r="AM24" s="37"/>
    </row>
    <row r="25" spans="1:39">
      <c r="A25" s="19">
        <f t="shared" si="0"/>
        <v>13</v>
      </c>
      <c r="B25" s="22">
        <v>93</v>
      </c>
      <c r="C25" s="22">
        <v>14</v>
      </c>
      <c r="D25" s="22" t="s">
        <v>208</v>
      </c>
      <c r="E25" s="22">
        <v>2531506</v>
      </c>
      <c r="F25" s="22" t="s">
        <v>164</v>
      </c>
      <c r="G25" s="22" t="s">
        <v>209</v>
      </c>
      <c r="H25" s="22" t="s">
        <v>210</v>
      </c>
      <c r="I25" s="23" t="s">
        <v>211</v>
      </c>
      <c r="J25" s="27">
        <v>0.3</v>
      </c>
      <c r="K25" s="28">
        <v>1</v>
      </c>
      <c r="L25" s="28">
        <v>0.6</v>
      </c>
      <c r="M25" s="52">
        <v>1.7</v>
      </c>
      <c r="N25" s="52">
        <v>0.1</v>
      </c>
      <c r="O25" s="49">
        <v>1.3</v>
      </c>
      <c r="P25" s="49">
        <v>0.1</v>
      </c>
      <c r="Q25" s="49" t="s">
        <v>279</v>
      </c>
      <c r="R25" s="49" t="s">
        <v>61</v>
      </c>
      <c r="S25" s="25">
        <v>26.78</v>
      </c>
      <c r="T25" s="26">
        <f>(J25+K25+L25)+IF((VLOOKUP(Q25,MogulsDD!$A$1:$D$1000,4,FALSE)*(M25+O25)/2)&gt;3.75,3.75,VLOOKUP(Q25,MogulsDD!$A$1:$D$1000,4,FALSE)*(M25+O25)/2)+IF((VLOOKUP(R25,MogulsDD!$A$1:$D$1000,4,FALSE)*(N25+P25)/2)&gt;3.75,3.75,VLOOKUP(R25,MogulsDD!$A$1:$D$1000,4,FALSE)*(N25+P25)/2)+IF((18-12*S25/$K$5)&gt;7.5,7.5,IF((18-12*S25/$K$5)&lt;0,0,(18-12*S25/$K$5)))</f>
        <v>5.6428585224529222</v>
      </c>
      <c r="U25" s="38"/>
      <c r="V25" s="38"/>
      <c r="W25" s="38"/>
      <c r="X25" s="38"/>
      <c r="Y25" s="39"/>
      <c r="Z25" s="38"/>
      <c r="AA25" s="38"/>
      <c r="AB25" s="38"/>
      <c r="AC25" s="38"/>
      <c r="AD25" s="39"/>
      <c r="AE25" s="38"/>
      <c r="AF25" s="38"/>
      <c r="AG25" s="38"/>
      <c r="AH25" s="38"/>
      <c r="AI25" s="39"/>
      <c r="AJ25" s="44"/>
      <c r="AK25" s="39"/>
      <c r="AL25" s="37"/>
      <c r="AM25" s="37"/>
    </row>
    <row r="26" spans="1:39">
      <c r="A26" s="19">
        <f t="shared" si="0"/>
        <v>14</v>
      </c>
      <c r="B26" s="22">
        <v>23</v>
      </c>
      <c r="C26" s="22">
        <v>11</v>
      </c>
      <c r="D26" s="22" t="s">
        <v>232</v>
      </c>
      <c r="E26" s="22"/>
      <c r="F26" s="22"/>
      <c r="G26" s="22" t="s">
        <v>240</v>
      </c>
      <c r="H26" s="22" t="s">
        <v>247</v>
      </c>
      <c r="I26" s="23"/>
      <c r="J26" s="27">
        <v>0.1</v>
      </c>
      <c r="K26" s="28">
        <v>0.1</v>
      </c>
      <c r="L26" s="28">
        <v>0.1</v>
      </c>
      <c r="M26" s="52">
        <v>0</v>
      </c>
      <c r="N26" s="52">
        <v>1.1000000000000001</v>
      </c>
      <c r="O26" s="49">
        <v>0</v>
      </c>
      <c r="P26" s="49">
        <v>0.9</v>
      </c>
      <c r="Q26" s="49" t="s">
        <v>279</v>
      </c>
      <c r="R26" s="49" t="s">
        <v>274</v>
      </c>
      <c r="S26" s="25">
        <v>28</v>
      </c>
      <c r="T26" s="26">
        <f>(J26+K26+L26)+IF((VLOOKUP(Q26,MogulsDD!$A$1:$D$1000,4,FALSE)*(M26+O26)/2)&gt;3.75,3.75,VLOOKUP(Q26,MogulsDD!$A$1:$D$1000,4,FALSE)*(M26+O26)/2)+IF((VLOOKUP(R26,MogulsDD!$A$1:$D$1000,4,FALSE)*(N26+P26)/2)&gt;3.75,3.75,VLOOKUP(R26,MogulsDD!$A$1:$D$1000,4,FALSE)*(N26+P26)/2)+IF((18-12*S26/$K$5)&gt;7.5,7.5,IF((18-12*S26/$K$5)&lt;0,0,(18-12*S26/$K$5)))</f>
        <v>2.8459536455818437</v>
      </c>
      <c r="U26" s="38"/>
      <c r="V26" s="38"/>
      <c r="W26" s="38"/>
      <c r="X26" s="38"/>
      <c r="Y26" s="39"/>
      <c r="Z26" s="38"/>
      <c r="AA26" s="38"/>
      <c r="AB26" s="38"/>
      <c r="AC26" s="38"/>
      <c r="AD26" s="39"/>
      <c r="AE26" s="38"/>
      <c r="AF26" s="38"/>
      <c r="AG26" s="38"/>
      <c r="AH26" s="38"/>
      <c r="AI26" s="39"/>
      <c r="AJ26" s="44"/>
      <c r="AK26" s="39"/>
      <c r="AL26" s="37"/>
      <c r="AM26" s="37"/>
    </row>
    <row r="27" spans="1:39">
      <c r="A27" s="19">
        <f t="shared" si="0"/>
        <v>15</v>
      </c>
      <c r="B27" s="22"/>
      <c r="C27" s="22"/>
      <c r="D27" s="22"/>
      <c r="E27" s="22"/>
      <c r="F27" s="22"/>
      <c r="G27" s="22"/>
      <c r="H27" s="22"/>
      <c r="I27" s="23"/>
      <c r="J27" s="27"/>
      <c r="K27" s="28"/>
      <c r="L27" s="28"/>
      <c r="M27" s="52"/>
      <c r="N27" s="52"/>
      <c r="O27" s="49"/>
      <c r="P27" s="49"/>
      <c r="Q27" s="49" t="s">
        <v>63</v>
      </c>
      <c r="R27" s="49" t="s">
        <v>63</v>
      </c>
      <c r="S27" s="25">
        <v>9999</v>
      </c>
      <c r="T27" s="26">
        <f>(J27+K27+L27)+IF((VLOOKUP(Q27,MogulsDD!$A$1:$D$1000,4,FALSE)*(M27+O27)/2)&gt;3.75,3.75,VLOOKUP(Q27,MogulsDD!$A$1:$D$1000,4,FALSE)*(M27+O27)/2)+IF((VLOOKUP(R27,MogulsDD!$A$1:$D$1000,4,FALSE)*(N27+P27)/2)&gt;3.75,3.75,VLOOKUP(R27,MogulsDD!$A$1:$D$1000,4,FALSE)*(N27+P27)/2)+IF((18-12*S27/$K$5)&gt;7.5,7.5,IF((18-12*S27/$K$5)&lt;0,0,(18-12*S27/$K$5)))</f>
        <v>0</v>
      </c>
      <c r="U27" s="38"/>
      <c r="V27" s="38"/>
      <c r="W27" s="38"/>
      <c r="X27" s="38"/>
      <c r="Y27" s="39"/>
      <c r="Z27" s="38"/>
      <c r="AA27" s="38"/>
      <c r="AB27" s="38"/>
      <c r="AC27" s="38"/>
      <c r="AD27" s="39"/>
      <c r="AE27" s="38"/>
      <c r="AF27" s="38"/>
      <c r="AG27" s="38"/>
      <c r="AH27" s="38"/>
      <c r="AI27" s="39"/>
      <c r="AJ27" s="44"/>
      <c r="AK27" s="39"/>
      <c r="AL27" s="37"/>
      <c r="AM27" s="37"/>
    </row>
    <row r="28" spans="1:39" ht="13.8" thickBot="1">
      <c r="A28" s="7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47"/>
      <c r="U28" s="38"/>
      <c r="V28" s="38"/>
      <c r="W28" s="38"/>
      <c r="X28" s="38"/>
      <c r="Y28" s="39"/>
      <c r="Z28" s="38"/>
      <c r="AA28" s="38"/>
      <c r="AB28" s="38"/>
      <c r="AC28" s="38"/>
      <c r="AD28" s="38"/>
      <c r="AE28" s="38"/>
      <c r="AF28" s="38"/>
      <c r="AG28" s="38"/>
      <c r="AH28" s="38"/>
      <c r="AI28" s="39"/>
      <c r="AJ28" s="38"/>
      <c r="AK28" s="39"/>
      <c r="AL28" s="37"/>
      <c r="AM28" s="37"/>
    </row>
    <row r="29" spans="1:39" ht="13.8" thickBot="1">
      <c r="A29" s="12"/>
      <c r="B29" s="11"/>
      <c r="C29" s="9"/>
      <c r="D29" s="9"/>
      <c r="E29" s="31" t="s">
        <v>257</v>
      </c>
      <c r="F29" s="9"/>
      <c r="G29" s="9"/>
      <c r="H29" s="9"/>
      <c r="I29" s="10"/>
      <c r="J29" s="21"/>
      <c r="K29" s="9"/>
      <c r="L29" s="9"/>
      <c r="M29" s="9"/>
      <c r="N29" s="9"/>
      <c r="O29" s="9"/>
      <c r="P29" s="9"/>
      <c r="Q29" s="9"/>
      <c r="R29" s="9"/>
      <c r="S29" s="9"/>
      <c r="T29" s="48"/>
      <c r="U29" s="38"/>
      <c r="V29" s="38"/>
      <c r="W29" s="38"/>
      <c r="X29" s="38"/>
      <c r="Y29" s="38"/>
      <c r="Z29" s="38"/>
      <c r="AA29" s="38"/>
      <c r="AB29" s="38"/>
      <c r="AC29" s="38"/>
      <c r="AD29" s="40"/>
      <c r="AE29" s="38"/>
      <c r="AF29" s="38"/>
      <c r="AG29" s="38"/>
      <c r="AH29" s="38"/>
      <c r="AI29" s="40"/>
      <c r="AJ29" s="38"/>
      <c r="AK29" s="39"/>
      <c r="AL29" s="37"/>
      <c r="AM29" s="37"/>
    </row>
    <row r="30" spans="1:39" ht="13.8" thickBot="1">
      <c r="A30" s="2"/>
      <c r="B30" s="3" t="s">
        <v>1</v>
      </c>
      <c r="C30" s="3" t="s">
        <v>252</v>
      </c>
      <c r="D30" s="3" t="s">
        <v>111</v>
      </c>
      <c r="E30" s="3" t="s">
        <v>238</v>
      </c>
      <c r="F30" s="3" t="s">
        <v>101</v>
      </c>
      <c r="G30" s="3" t="s">
        <v>3</v>
      </c>
      <c r="H30" s="3" t="s">
        <v>4</v>
      </c>
      <c r="I30" s="4" t="s">
        <v>5</v>
      </c>
      <c r="J30" s="2" t="s">
        <v>11</v>
      </c>
      <c r="K30" s="3" t="s">
        <v>12</v>
      </c>
      <c r="L30" s="3" t="s">
        <v>15</v>
      </c>
      <c r="M30" s="3" t="s">
        <v>66</v>
      </c>
      <c r="N30" s="3" t="s">
        <v>65</v>
      </c>
      <c r="O30" s="3" t="s">
        <v>67</v>
      </c>
      <c r="P30" s="3" t="s">
        <v>68</v>
      </c>
      <c r="Q30" s="3" t="s">
        <v>59</v>
      </c>
      <c r="R30" s="3" t="s">
        <v>60</v>
      </c>
      <c r="S30" s="3"/>
      <c r="T30" s="46" t="s">
        <v>14</v>
      </c>
      <c r="U30" s="41"/>
      <c r="V30" s="41"/>
      <c r="W30" s="41"/>
      <c r="X30" s="41"/>
      <c r="Y30" s="42"/>
      <c r="Z30" s="41"/>
      <c r="AA30" s="41"/>
      <c r="AB30" s="41"/>
      <c r="AC30" s="41"/>
      <c r="AD30" s="42"/>
      <c r="AE30" s="41"/>
      <c r="AF30" s="41"/>
      <c r="AG30" s="41"/>
      <c r="AH30" s="41"/>
      <c r="AI30" s="42"/>
      <c r="AJ30" s="43"/>
      <c r="AK30" s="39"/>
      <c r="AL30" s="37"/>
      <c r="AM30" s="37"/>
    </row>
    <row r="31" spans="1:39">
      <c r="A31" s="19">
        <f t="shared" ref="A31:A53" si="1">RANK(T31,$T$31:$T$53,0)</f>
        <v>1</v>
      </c>
      <c r="B31" s="32">
        <v>88</v>
      </c>
      <c r="C31" s="22">
        <v>6</v>
      </c>
      <c r="D31" s="22" t="s">
        <v>168</v>
      </c>
      <c r="E31" s="22"/>
      <c r="F31" s="22" t="s">
        <v>164</v>
      </c>
      <c r="G31" s="22" t="s">
        <v>209</v>
      </c>
      <c r="H31" s="22" t="s">
        <v>169</v>
      </c>
      <c r="I31" s="23" t="s">
        <v>103</v>
      </c>
      <c r="J31" s="24">
        <v>4.5999999999999996</v>
      </c>
      <c r="K31" s="25">
        <v>4.3</v>
      </c>
      <c r="L31" s="25">
        <v>4.5</v>
      </c>
      <c r="M31" s="51">
        <v>2</v>
      </c>
      <c r="N31" s="51">
        <v>1.9</v>
      </c>
      <c r="O31" s="49">
        <v>2.2000000000000002</v>
      </c>
      <c r="P31" s="49">
        <v>2.1</v>
      </c>
      <c r="Q31" s="49" t="s">
        <v>284</v>
      </c>
      <c r="R31" s="49" t="s">
        <v>272</v>
      </c>
      <c r="S31" s="25">
        <v>17.52</v>
      </c>
      <c r="T31" s="26">
        <f>(J31+K31+L31)+IF((VLOOKUP(Q31,MogulsDD!$A$1:$C$1000,3,FALSE)*(M31+O31)/2)&gt;3.75,3.75,VLOOKUP(Q31,MogulsDD!$A$1:$C$1000,3,FALSE)*(M31+O31)/2)+IF((VLOOKUP(R31,MogulsDD!$A$1:$C$1000,3,FALSE)*(N31+P31)/2)&gt;3.75,3.75,VLOOKUP(R31,MogulsDD!$A$1:$C$1000,3,FALSE)*(N31+P31)/2)+IF((18-12*S31/$J$5)&gt;7.5,7.5,IF((18-12*S31/$J$5)&lt;0,0,(18-12*S31/$J$5)))</f>
        <v>23.839149117814458</v>
      </c>
      <c r="U31" s="38"/>
      <c r="V31" s="38"/>
      <c r="W31" s="38"/>
      <c r="X31" s="38"/>
      <c r="Y31" s="39"/>
      <c r="Z31" s="38"/>
      <c r="AA31" s="38"/>
      <c r="AB31" s="38"/>
      <c r="AC31" s="38"/>
      <c r="AD31" s="39"/>
      <c r="AE31" s="38"/>
      <c r="AF31" s="38"/>
      <c r="AG31" s="38"/>
      <c r="AH31" s="38"/>
      <c r="AI31" s="39"/>
      <c r="AJ31" s="44"/>
      <c r="AK31" s="39"/>
      <c r="AL31" s="37"/>
      <c r="AM31" s="37"/>
    </row>
    <row r="32" spans="1:39">
      <c r="A32" s="19">
        <f t="shared" si="1"/>
        <v>2</v>
      </c>
      <c r="B32" s="32">
        <v>56</v>
      </c>
      <c r="C32" s="22">
        <v>20</v>
      </c>
      <c r="D32" s="22" t="s">
        <v>172</v>
      </c>
      <c r="E32" s="22">
        <v>2531748</v>
      </c>
      <c r="F32" s="22" t="s">
        <v>173</v>
      </c>
      <c r="G32" s="22" t="s">
        <v>239</v>
      </c>
      <c r="H32" s="22" t="s">
        <v>174</v>
      </c>
      <c r="I32" s="23" t="s">
        <v>175</v>
      </c>
      <c r="J32" s="27">
        <v>4.3</v>
      </c>
      <c r="K32" s="28">
        <v>4.0999999999999996</v>
      </c>
      <c r="L32" s="28">
        <v>4.5</v>
      </c>
      <c r="M32" s="52">
        <v>2.2999999999999998</v>
      </c>
      <c r="N32" s="52">
        <v>1.9</v>
      </c>
      <c r="O32" s="49">
        <v>2.4</v>
      </c>
      <c r="P32" s="49">
        <v>1.9</v>
      </c>
      <c r="Q32" s="49" t="s">
        <v>270</v>
      </c>
      <c r="R32" s="49" t="s">
        <v>293</v>
      </c>
      <c r="S32" s="25">
        <v>18</v>
      </c>
      <c r="T32" s="26">
        <f>(J32+K32+L32)+IF((VLOOKUP(Q32,MogulsDD!$A$1:$C$1000,3,FALSE)*(M32+O32)/2)&gt;3.75,3.75,VLOOKUP(Q32,MogulsDD!$A$1:$C$1000,3,FALSE)*(M32+O32)/2)+IF((VLOOKUP(R32,MogulsDD!$A$1:$C$1000,3,FALSE)*(N32+P32)/2)&gt;3.75,3.75,VLOOKUP(R32,MogulsDD!$A$1:$C$1000,3,FALSE)*(N32+P32)/2)+IF((18-12*S32/$J$5)&gt;7.5,7.5,IF((18-12*S32/$J$5)&lt;0,0,(18-12*S32/$J$5)))</f>
        <v>22.935817586795672</v>
      </c>
      <c r="U32" s="38"/>
      <c r="V32" s="38"/>
      <c r="W32" s="38"/>
      <c r="X32" s="38"/>
      <c r="Y32" s="39"/>
      <c r="Z32" s="38"/>
      <c r="AA32" s="38"/>
      <c r="AB32" s="38"/>
      <c r="AC32" s="38"/>
      <c r="AD32" s="39"/>
      <c r="AE32" s="38"/>
      <c r="AF32" s="38"/>
      <c r="AG32" s="38"/>
      <c r="AH32" s="38"/>
      <c r="AI32" s="39"/>
      <c r="AJ32" s="44"/>
      <c r="AK32" s="39"/>
      <c r="AL32" s="37"/>
      <c r="AM32" s="37"/>
    </row>
    <row r="33" spans="1:39">
      <c r="A33" s="19">
        <f t="shared" si="1"/>
        <v>3</v>
      </c>
      <c r="B33" s="32">
        <v>97</v>
      </c>
      <c r="C33" s="22">
        <v>2</v>
      </c>
      <c r="D33" s="22" t="s">
        <v>159</v>
      </c>
      <c r="E33" s="22"/>
      <c r="F33" s="22" t="s">
        <v>160</v>
      </c>
      <c r="G33" s="22" t="s">
        <v>122</v>
      </c>
      <c r="H33" s="22" t="s">
        <v>161</v>
      </c>
      <c r="I33" s="23" t="s">
        <v>162</v>
      </c>
      <c r="J33" s="27">
        <v>4.5</v>
      </c>
      <c r="K33" s="28">
        <v>4.3</v>
      </c>
      <c r="L33" s="28">
        <v>4.4000000000000004</v>
      </c>
      <c r="M33" s="52">
        <v>1.9</v>
      </c>
      <c r="N33" s="52">
        <v>1.8</v>
      </c>
      <c r="O33" s="49">
        <v>2.1</v>
      </c>
      <c r="P33" s="49">
        <v>1.9</v>
      </c>
      <c r="Q33" s="49" t="s">
        <v>284</v>
      </c>
      <c r="R33" s="49" t="s">
        <v>286</v>
      </c>
      <c r="S33" s="25">
        <v>18.68</v>
      </c>
      <c r="T33" s="26">
        <f>(J33+K33+L33)+IF((VLOOKUP(Q33,MogulsDD!$A$1:$C$1000,3,FALSE)*(M33+O33)/2)&gt;3.75,3.75,VLOOKUP(Q33,MogulsDD!$A$1:$C$1000,3,FALSE)*(M33+O33)/2)+IF((VLOOKUP(R33,MogulsDD!$A$1:$C$1000,3,FALSE)*(N33+P33)/2)&gt;3.75,3.75,VLOOKUP(R33,MogulsDD!$A$1:$C$1000,3,FALSE)*(N33+P33)/2)+IF((18-12*S33/$J$5)&gt;7.5,7.5,IF((18-12*S33/$J$5)&lt;0,0,(18-12*S33/$J$5)))</f>
        <v>22.55838958451907</v>
      </c>
      <c r="U33" s="38"/>
      <c r="V33" s="38"/>
      <c r="W33" s="38"/>
      <c r="X33" s="38"/>
      <c r="Y33" s="39"/>
      <c r="Z33" s="38"/>
      <c r="AA33" s="38"/>
      <c r="AB33" s="38"/>
      <c r="AC33" s="38"/>
      <c r="AD33" s="39"/>
      <c r="AE33" s="38"/>
      <c r="AF33" s="38"/>
      <c r="AG33" s="38"/>
      <c r="AH33" s="38"/>
      <c r="AI33" s="39"/>
      <c r="AJ33" s="44"/>
      <c r="AK33" s="39"/>
      <c r="AL33" s="37"/>
      <c r="AM33" s="37"/>
    </row>
    <row r="34" spans="1:39">
      <c r="A34" s="19">
        <f t="shared" si="1"/>
        <v>4</v>
      </c>
      <c r="B34" s="32">
        <v>100</v>
      </c>
      <c r="C34" s="22">
        <v>4</v>
      </c>
      <c r="D34" s="22" t="s">
        <v>203</v>
      </c>
      <c r="E34" s="22"/>
      <c r="F34" s="22" t="s">
        <v>164</v>
      </c>
      <c r="G34" s="22" t="s">
        <v>209</v>
      </c>
      <c r="H34" s="22" t="s">
        <v>204</v>
      </c>
      <c r="I34" s="23" t="s">
        <v>115</v>
      </c>
      <c r="J34" s="27">
        <v>4.3</v>
      </c>
      <c r="K34" s="28">
        <v>4.2</v>
      </c>
      <c r="L34" s="28">
        <v>4.3</v>
      </c>
      <c r="M34" s="52">
        <v>2</v>
      </c>
      <c r="N34" s="52">
        <v>1.8</v>
      </c>
      <c r="O34" s="49">
        <v>1.9</v>
      </c>
      <c r="P34" s="49">
        <v>1.9</v>
      </c>
      <c r="Q34" s="49" t="s">
        <v>270</v>
      </c>
      <c r="R34" s="49" t="s">
        <v>291</v>
      </c>
      <c r="S34" s="25">
        <v>18.87</v>
      </c>
      <c r="T34" s="26">
        <f>(J34+K34+L34)+IF((VLOOKUP(Q34,MogulsDD!$A$1:$C$1000,3,FALSE)*(M34+O34)/2)&gt;3.75,3.75,VLOOKUP(Q34,MogulsDD!$A$1:$C$1000,3,FALSE)*(M34+O34)/2)+IF((VLOOKUP(R34,MogulsDD!$A$1:$C$1000,3,FALSE)*(N34+P34)/2)&gt;3.75,3.75,VLOOKUP(R34,MogulsDD!$A$1:$C$1000,3,FALSE)*(N34+P34)/2)+IF((18-12*S34/$J$5)&gt;7.5,7.5,IF((18-12*S34/$J$5)&lt;0,0,(18-12*S34/$J$5)))</f>
        <v>22.253622936824133</v>
      </c>
      <c r="U34" s="38"/>
      <c r="V34" s="38"/>
      <c r="W34" s="38"/>
      <c r="X34" s="38"/>
      <c r="Y34" s="39"/>
      <c r="Z34" s="38"/>
      <c r="AA34" s="38"/>
      <c r="AB34" s="38"/>
      <c r="AC34" s="38"/>
      <c r="AD34" s="39"/>
      <c r="AE34" s="38"/>
      <c r="AF34" s="38"/>
      <c r="AG34" s="38"/>
      <c r="AH34" s="38"/>
      <c r="AI34" s="39"/>
      <c r="AJ34" s="44"/>
      <c r="AK34" s="39"/>
      <c r="AL34" s="37"/>
      <c r="AM34" s="37"/>
    </row>
    <row r="35" spans="1:39">
      <c r="A35" s="19">
        <f t="shared" si="1"/>
        <v>5</v>
      </c>
      <c r="B35" s="32">
        <v>49</v>
      </c>
      <c r="C35" s="22">
        <v>16</v>
      </c>
      <c r="D35" s="22" t="s">
        <v>170</v>
      </c>
      <c r="E35" s="22">
        <v>2529840</v>
      </c>
      <c r="F35" s="22" t="s">
        <v>164</v>
      </c>
      <c r="G35" s="22" t="s">
        <v>209</v>
      </c>
      <c r="H35" s="22" t="s">
        <v>171</v>
      </c>
      <c r="I35" s="23" t="s">
        <v>103</v>
      </c>
      <c r="J35" s="27">
        <v>4.0999999999999996</v>
      </c>
      <c r="K35" s="28">
        <v>3.9</v>
      </c>
      <c r="L35" s="28">
        <v>4.3</v>
      </c>
      <c r="M35" s="52">
        <v>1.8</v>
      </c>
      <c r="N35" s="52">
        <v>2.1</v>
      </c>
      <c r="O35" s="49">
        <v>2.1</v>
      </c>
      <c r="P35" s="49">
        <v>2</v>
      </c>
      <c r="Q35" s="49" t="s">
        <v>284</v>
      </c>
      <c r="R35" s="49" t="s">
        <v>272</v>
      </c>
      <c r="S35" s="25">
        <v>18.63</v>
      </c>
      <c r="T35" s="26">
        <f>(J35+K35+L35)+IF((VLOOKUP(Q35,MogulsDD!$A$1:$C$1000,3,FALSE)*(M35+O35)/2)&gt;3.75,3.75,VLOOKUP(Q35,MogulsDD!$A$1:$C$1000,3,FALSE)*(M35+O35)/2)+IF((VLOOKUP(R35,MogulsDD!$A$1:$C$1000,3,FALSE)*(N35+P35)/2)&gt;3.75,3.75,VLOOKUP(R35,MogulsDD!$A$1:$C$1000,3,FALSE)*(N35+P35)/2)+IF((18-12*S35/$J$5)&gt;7.5,7.5,IF((18-12*S35/$J$5)&lt;0,0,(18-12*S35/$J$5)))</f>
        <v>21.878538702333522</v>
      </c>
      <c r="U35" s="38"/>
      <c r="V35" s="38"/>
      <c r="W35" s="38"/>
      <c r="X35" s="38"/>
      <c r="Y35" s="39"/>
      <c r="Z35" s="38"/>
      <c r="AA35" s="38"/>
      <c r="AB35" s="38"/>
      <c r="AC35" s="38"/>
      <c r="AD35" s="39"/>
      <c r="AE35" s="38"/>
      <c r="AF35" s="38"/>
      <c r="AG35" s="38"/>
      <c r="AH35" s="38"/>
      <c r="AI35" s="39"/>
      <c r="AJ35" s="44"/>
      <c r="AK35" s="39"/>
      <c r="AL35" s="37"/>
      <c r="AM35" s="37"/>
    </row>
    <row r="36" spans="1:39">
      <c r="A36" s="19">
        <f t="shared" si="1"/>
        <v>6</v>
      </c>
      <c r="B36" s="32">
        <v>95</v>
      </c>
      <c r="C36" s="22">
        <v>17</v>
      </c>
      <c r="D36" s="22" t="s">
        <v>134</v>
      </c>
      <c r="E36" s="22"/>
      <c r="F36" s="22" t="s">
        <v>135</v>
      </c>
      <c r="G36" s="22" t="s">
        <v>138</v>
      </c>
      <c r="H36" s="22" t="s">
        <v>136</v>
      </c>
      <c r="I36" s="23" t="s">
        <v>137</v>
      </c>
      <c r="J36" s="27">
        <v>4.2</v>
      </c>
      <c r="K36" s="28">
        <v>4</v>
      </c>
      <c r="L36" s="28">
        <v>4.2</v>
      </c>
      <c r="M36" s="52">
        <v>2.2999999999999998</v>
      </c>
      <c r="N36" s="52">
        <v>1.7</v>
      </c>
      <c r="O36" s="49">
        <v>2.2000000000000002</v>
      </c>
      <c r="P36" s="49">
        <v>1.9</v>
      </c>
      <c r="Q36" s="49" t="s">
        <v>284</v>
      </c>
      <c r="R36" s="49" t="s">
        <v>291</v>
      </c>
      <c r="S36" s="25">
        <v>21.86</v>
      </c>
      <c r="T36" s="26">
        <f>(J36+K36+L36)+IF((VLOOKUP(Q36,MogulsDD!$A$1:$C$1000,3,FALSE)*(M36+O36)/2)&gt;3.75,3.75,VLOOKUP(Q36,MogulsDD!$A$1:$C$1000,3,FALSE)*(M36+O36)/2)+IF((VLOOKUP(R36,MogulsDD!$A$1:$C$1000,3,FALSE)*(N36+P36)/2)&gt;3.75,3.75,VLOOKUP(R36,MogulsDD!$A$1:$C$1000,3,FALSE)*(N36+P36)/2)+IF((18-12*S36/$J$5)&gt;7.5,7.5,IF((18-12*S36/$J$5)&lt;0,0,(18-12*S36/$J$5)))</f>
        <v>20.064505691519635</v>
      </c>
      <c r="U36" s="38"/>
      <c r="V36" s="38"/>
      <c r="W36" s="38"/>
      <c r="X36" s="38"/>
      <c r="Y36" s="39"/>
      <c r="Z36" s="38"/>
      <c r="AA36" s="38"/>
      <c r="AB36" s="38"/>
      <c r="AC36" s="38"/>
      <c r="AD36" s="39"/>
      <c r="AE36" s="38"/>
      <c r="AF36" s="38"/>
      <c r="AG36" s="38"/>
      <c r="AH36" s="38"/>
      <c r="AI36" s="39"/>
      <c r="AJ36" s="44"/>
      <c r="AK36" s="39"/>
      <c r="AL36" s="37"/>
      <c r="AM36" s="37"/>
    </row>
    <row r="37" spans="1:39">
      <c r="A37" s="19">
        <f t="shared" si="1"/>
        <v>7</v>
      </c>
      <c r="B37" s="32">
        <v>18</v>
      </c>
      <c r="C37" s="22">
        <v>21</v>
      </c>
      <c r="D37" s="22" t="s">
        <v>123</v>
      </c>
      <c r="E37" s="22">
        <v>2531086</v>
      </c>
      <c r="F37" s="22" t="s">
        <v>124</v>
      </c>
      <c r="G37" s="22" t="s">
        <v>122</v>
      </c>
      <c r="H37" s="22" t="s">
        <v>125</v>
      </c>
      <c r="I37" s="23" t="s">
        <v>126</v>
      </c>
      <c r="J37" s="27">
        <v>3.7</v>
      </c>
      <c r="K37" s="28">
        <v>3.7</v>
      </c>
      <c r="L37" s="28">
        <v>4.2</v>
      </c>
      <c r="M37" s="52">
        <v>1.9</v>
      </c>
      <c r="N37" s="52">
        <v>1.7</v>
      </c>
      <c r="O37" s="49">
        <v>1.6</v>
      </c>
      <c r="P37" s="49">
        <v>1.6</v>
      </c>
      <c r="Q37" s="49" t="s">
        <v>276</v>
      </c>
      <c r="R37" s="49" t="s">
        <v>286</v>
      </c>
      <c r="S37" s="25">
        <v>20.07</v>
      </c>
      <c r="T37" s="26">
        <f>(J37+K37+L37)+IF((VLOOKUP(Q37,MogulsDD!$A$1:$C$1000,3,FALSE)*(M37+O37)/2)&gt;3.75,3.75,VLOOKUP(Q37,MogulsDD!$A$1:$C$1000,3,FALSE)*(M37+O37)/2)+IF((VLOOKUP(R37,MogulsDD!$A$1:$C$1000,3,FALSE)*(N37+P37)/2)&gt;3.75,3.75,VLOOKUP(R37,MogulsDD!$A$1:$C$1000,3,FALSE)*(N37+P37)/2)+IF((18-12*S37/$J$5)&gt;7.5,7.5,IF((18-12*S37/$J$5)&lt;0,0,(18-12*S37/$J$5)))</f>
        <v>19.528544109277178</v>
      </c>
      <c r="U37" s="38"/>
      <c r="V37" s="38"/>
      <c r="W37" s="38"/>
      <c r="X37" s="38"/>
      <c r="Y37" s="39"/>
      <c r="Z37" s="38"/>
      <c r="AA37" s="38"/>
      <c r="AB37" s="38"/>
      <c r="AC37" s="38"/>
      <c r="AD37" s="39"/>
      <c r="AE37" s="38"/>
      <c r="AF37" s="38"/>
      <c r="AG37" s="38"/>
      <c r="AH37" s="38"/>
      <c r="AI37" s="39"/>
      <c r="AJ37" s="44"/>
      <c r="AK37" s="39"/>
      <c r="AL37" s="37"/>
      <c r="AM37" s="37"/>
    </row>
    <row r="38" spans="1:39">
      <c r="A38" s="19">
        <f t="shared" si="1"/>
        <v>8</v>
      </c>
      <c r="B38" s="32">
        <v>81</v>
      </c>
      <c r="C38" s="22">
        <v>15</v>
      </c>
      <c r="D38" s="22" t="s">
        <v>205</v>
      </c>
      <c r="E38" s="22">
        <v>2530651</v>
      </c>
      <c r="F38" s="22" t="s">
        <v>206</v>
      </c>
      <c r="G38" s="22" t="s">
        <v>207</v>
      </c>
      <c r="H38" s="99" t="s">
        <v>243</v>
      </c>
      <c r="I38" s="23" t="s">
        <v>126</v>
      </c>
      <c r="J38" s="27">
        <v>3.3</v>
      </c>
      <c r="K38" s="28">
        <v>3.4</v>
      </c>
      <c r="L38" s="28">
        <v>3.8</v>
      </c>
      <c r="M38" s="52">
        <v>2.4</v>
      </c>
      <c r="N38" s="52">
        <v>1.1000000000000001</v>
      </c>
      <c r="O38" s="49">
        <v>2.2000000000000002</v>
      </c>
      <c r="P38" s="49">
        <v>1</v>
      </c>
      <c r="Q38" s="49" t="s">
        <v>284</v>
      </c>
      <c r="R38" s="49" t="s">
        <v>292</v>
      </c>
      <c r="S38" s="25">
        <v>18.809999999999999</v>
      </c>
      <c r="T38" s="26">
        <f>(J38+K38+L38)+IF((VLOOKUP(Q38,MogulsDD!$A$1:$C$1000,3,FALSE)*(M38+O38)/2)&gt;3.75,3.75,VLOOKUP(Q38,MogulsDD!$A$1:$C$1000,3,FALSE)*(M38+O38)/2)+IF((VLOOKUP(R38,MogulsDD!$A$1:$C$1000,3,FALSE)*(N38+P38)/2)&gt;3.75,3.75,VLOOKUP(R38,MogulsDD!$A$1:$C$1000,3,FALSE)*(N38+P38)/2)+IF((18-12*S38/$J$5)&gt;7.5,7.5,IF((18-12*S38/$J$5)&lt;0,0,(18-12*S38/$J$5)))</f>
        <v>19.370101878201481</v>
      </c>
      <c r="U38" s="38"/>
      <c r="V38" s="38"/>
      <c r="W38" s="38"/>
      <c r="X38" s="38"/>
      <c r="Y38" s="39"/>
      <c r="Z38" s="38"/>
      <c r="AA38" s="38"/>
      <c r="AB38" s="38"/>
      <c r="AC38" s="38"/>
      <c r="AD38" s="39"/>
      <c r="AE38" s="38"/>
      <c r="AF38" s="38"/>
      <c r="AG38" s="38"/>
      <c r="AH38" s="38"/>
      <c r="AI38" s="39"/>
      <c r="AJ38" s="44"/>
      <c r="AK38" s="39"/>
      <c r="AL38" s="37"/>
      <c r="AM38" s="37"/>
    </row>
    <row r="39" spans="1:39">
      <c r="A39" s="19">
        <f t="shared" si="1"/>
        <v>9</v>
      </c>
      <c r="B39" s="32">
        <v>3</v>
      </c>
      <c r="C39" s="22">
        <v>19</v>
      </c>
      <c r="D39" s="22" t="s">
        <v>156</v>
      </c>
      <c r="E39" s="22">
        <v>2532116</v>
      </c>
      <c r="F39" s="22" t="s">
        <v>157</v>
      </c>
      <c r="G39" s="22" t="s">
        <v>122</v>
      </c>
      <c r="H39" s="22" t="s">
        <v>158</v>
      </c>
      <c r="I39" s="23" t="s">
        <v>128</v>
      </c>
      <c r="J39" s="27">
        <v>3.4</v>
      </c>
      <c r="K39" s="28">
        <v>3.8</v>
      </c>
      <c r="L39" s="28">
        <v>3.6</v>
      </c>
      <c r="M39" s="52">
        <v>1.9</v>
      </c>
      <c r="N39" s="52">
        <v>1.5</v>
      </c>
      <c r="O39" s="49">
        <v>1.9</v>
      </c>
      <c r="P39" s="49">
        <v>1.2</v>
      </c>
      <c r="Q39" s="49" t="s">
        <v>282</v>
      </c>
      <c r="R39" s="49" t="s">
        <v>273</v>
      </c>
      <c r="S39" s="25">
        <v>19.93</v>
      </c>
      <c r="T39" s="26">
        <f>(J39+K39+L39)+IF((VLOOKUP(Q39,MogulsDD!$A$1:$C$1000,3,FALSE)*(M39+O39)/2)&gt;3.75,3.75,VLOOKUP(Q39,MogulsDD!$A$1:$C$1000,3,FALSE)*(M39+O39)/2)+IF((VLOOKUP(R39,MogulsDD!$A$1:$C$1000,3,FALSE)*(N39+P39)/2)&gt;3.75,3.75,VLOOKUP(R39,MogulsDD!$A$1:$C$1000,3,FALSE)*(N39+P39)/2)+IF((18-12*S39/$J$5)&gt;7.5,7.5,IF((18-12*S39/$J$5)&lt;0,0,(18-12*S39/$J$5)))</f>
        <v>17.378661639157652</v>
      </c>
      <c r="U39" s="38"/>
      <c r="V39" s="38"/>
      <c r="W39" s="38"/>
      <c r="X39" s="38"/>
      <c r="Y39" s="39"/>
      <c r="Z39" s="38"/>
      <c r="AA39" s="38"/>
      <c r="AB39" s="38"/>
      <c r="AC39" s="38"/>
      <c r="AD39" s="39"/>
      <c r="AE39" s="38"/>
      <c r="AF39" s="38"/>
      <c r="AG39" s="38"/>
      <c r="AH39" s="38"/>
      <c r="AI39" s="39"/>
      <c r="AJ39" s="44"/>
      <c r="AK39" s="39"/>
      <c r="AL39" s="37"/>
      <c r="AM39" s="37"/>
    </row>
    <row r="40" spans="1:39">
      <c r="A40" s="19">
        <f t="shared" si="1"/>
        <v>10</v>
      </c>
      <c r="B40" s="32">
        <v>44</v>
      </c>
      <c r="C40" s="22">
        <v>9</v>
      </c>
      <c r="D40" s="22" t="s">
        <v>110</v>
      </c>
      <c r="E40" s="22">
        <v>2531950</v>
      </c>
      <c r="F40" s="22" t="s">
        <v>106</v>
      </c>
      <c r="G40" s="22" t="s">
        <v>122</v>
      </c>
      <c r="H40" s="22" t="s">
        <v>102</v>
      </c>
      <c r="I40" s="23" t="s">
        <v>103</v>
      </c>
      <c r="J40" s="27">
        <v>3.2</v>
      </c>
      <c r="K40" s="28">
        <v>3.2</v>
      </c>
      <c r="L40" s="28">
        <v>3</v>
      </c>
      <c r="M40" s="52">
        <v>1.2</v>
      </c>
      <c r="N40" s="52">
        <v>1.7</v>
      </c>
      <c r="O40" s="49">
        <v>1.1000000000000001</v>
      </c>
      <c r="P40" s="49">
        <v>1.5</v>
      </c>
      <c r="Q40" s="49" t="s">
        <v>61</v>
      </c>
      <c r="R40" s="49" t="s">
        <v>272</v>
      </c>
      <c r="S40" s="25">
        <v>19.41</v>
      </c>
      <c r="T40" s="26">
        <f>(J40+K40+L40)+IF((VLOOKUP(Q40,MogulsDD!$A$1:$C$1000,3,FALSE)*(M40+O40)/2)&gt;3.75,3.75,VLOOKUP(Q40,MogulsDD!$A$1:$C$1000,3,FALSE)*(M40+O40)/2)+IF((VLOOKUP(R40,MogulsDD!$A$1:$C$1000,3,FALSE)*(N40+P40)/2)&gt;3.75,3.75,VLOOKUP(R40,MogulsDD!$A$1:$C$1000,3,FALSE)*(N40+P40)/2)+IF((18-12*S40/$J$5)&gt;7.5,7.5,IF((18-12*S40/$J$5)&lt;0,0,(18-12*S40/$J$5)))</f>
        <v>17.110812464428001</v>
      </c>
      <c r="U40" s="38"/>
      <c r="V40" s="38"/>
      <c r="W40" s="38"/>
      <c r="X40" s="38"/>
      <c r="Y40" s="39"/>
      <c r="Z40" s="38"/>
      <c r="AA40" s="38"/>
      <c r="AB40" s="38"/>
      <c r="AC40" s="38"/>
      <c r="AD40" s="39"/>
      <c r="AE40" s="38"/>
      <c r="AF40" s="38"/>
      <c r="AG40" s="38"/>
      <c r="AH40" s="38"/>
      <c r="AI40" s="39"/>
      <c r="AJ40" s="44"/>
      <c r="AK40" s="39"/>
      <c r="AL40" s="37"/>
      <c r="AM40" s="37"/>
    </row>
    <row r="41" spans="1:39">
      <c r="A41" s="19">
        <f t="shared" si="1"/>
        <v>11</v>
      </c>
      <c r="B41" s="32">
        <v>109</v>
      </c>
      <c r="C41" s="22">
        <v>10</v>
      </c>
      <c r="D41" s="22" t="s">
        <v>199</v>
      </c>
      <c r="E41" s="22"/>
      <c r="F41" s="22" t="s">
        <v>200</v>
      </c>
      <c r="G41" s="22" t="s">
        <v>122</v>
      </c>
      <c r="H41" s="22" t="s">
        <v>201</v>
      </c>
      <c r="I41" s="23" t="s">
        <v>202</v>
      </c>
      <c r="J41" s="27">
        <v>2.8</v>
      </c>
      <c r="K41" s="28">
        <v>2.4</v>
      </c>
      <c r="L41" s="28">
        <v>2.4</v>
      </c>
      <c r="M41" s="52">
        <v>1.6</v>
      </c>
      <c r="N41" s="52">
        <v>1.7</v>
      </c>
      <c r="O41" s="49">
        <v>1.7</v>
      </c>
      <c r="P41" s="49">
        <v>1.5</v>
      </c>
      <c r="Q41" s="49" t="s">
        <v>284</v>
      </c>
      <c r="R41" s="49" t="s">
        <v>27</v>
      </c>
      <c r="S41" s="25">
        <v>21.34</v>
      </c>
      <c r="T41" s="26">
        <f>(J41+K41+L41)+IF((VLOOKUP(Q41,MogulsDD!$A$1:$C$1000,3,FALSE)*(M41+O41)/2)&gt;3.75,3.75,VLOOKUP(Q41,MogulsDD!$A$1:$C$1000,3,FALSE)*(M41+O41)/2)+IF((VLOOKUP(R41,MogulsDD!$A$1:$C$1000,3,FALSE)*(N41+P41)/2)&gt;3.75,3.75,VLOOKUP(R41,MogulsDD!$A$1:$C$1000,3,FALSE)*(N41+P41)/2)+IF((18-12*S41/$J$5)&gt;7.5,7.5,IF((18-12*S41/$J$5)&lt;0,0,(18-12*S41/$J$5)))</f>
        <v>14.437656516789984</v>
      </c>
      <c r="U41" s="38"/>
      <c r="V41" s="38"/>
      <c r="W41" s="38"/>
      <c r="X41" s="38"/>
      <c r="Y41" s="39"/>
      <c r="Z41" s="38"/>
      <c r="AA41" s="38"/>
      <c r="AB41" s="38"/>
      <c r="AC41" s="38"/>
      <c r="AD41" s="39"/>
      <c r="AE41" s="38"/>
      <c r="AF41" s="38"/>
      <c r="AG41" s="38"/>
      <c r="AH41" s="38"/>
      <c r="AI41" s="39"/>
      <c r="AJ41" s="44"/>
      <c r="AK41" s="39"/>
      <c r="AL41" s="37"/>
      <c r="AM41" s="37"/>
    </row>
    <row r="42" spans="1:39" ht="13.8" thickBot="1">
      <c r="A42" s="19">
        <f t="shared" si="1"/>
        <v>12</v>
      </c>
      <c r="B42" s="13">
        <v>25</v>
      </c>
      <c r="C42" s="22">
        <v>11</v>
      </c>
      <c r="D42" s="14" t="s">
        <v>130</v>
      </c>
      <c r="E42" s="22"/>
      <c r="F42" s="14" t="s">
        <v>131</v>
      </c>
      <c r="G42" s="14" t="s">
        <v>122</v>
      </c>
      <c r="H42" s="14" t="s">
        <v>132</v>
      </c>
      <c r="I42" s="18" t="s">
        <v>133</v>
      </c>
      <c r="J42" s="29">
        <v>2.6</v>
      </c>
      <c r="K42" s="30">
        <v>2.7</v>
      </c>
      <c r="L42" s="30">
        <v>3</v>
      </c>
      <c r="M42" s="53">
        <v>1.6</v>
      </c>
      <c r="N42" s="53">
        <v>1.9</v>
      </c>
      <c r="O42" s="50">
        <v>1.6</v>
      </c>
      <c r="P42" s="50">
        <v>1.7</v>
      </c>
      <c r="Q42" s="49" t="s">
        <v>276</v>
      </c>
      <c r="R42" s="49" t="s">
        <v>274</v>
      </c>
      <c r="S42" s="25">
        <v>22.23</v>
      </c>
      <c r="T42" s="26">
        <f>(J42+K42+L42)+IF((VLOOKUP(Q42,MogulsDD!$A$1:$C$1000,3,FALSE)*(M42+O42)/2)&gt;3.75,3.75,VLOOKUP(Q42,MogulsDD!$A$1:$C$1000,3,FALSE)*(M42+O42)/2)+IF((VLOOKUP(R42,MogulsDD!$A$1:$C$1000,3,FALSE)*(N42+P42)/2)&gt;3.75,3.75,VLOOKUP(R42,MogulsDD!$A$1:$C$1000,3,FALSE)*(N42+P42)/2)+IF((18-12*S42/$J$5)&gt;7.5,7.5,IF((18-12*S42/$J$5)&lt;0,0,(18-12*S42/$J$5)))</f>
        <v>13.913302219692659</v>
      </c>
      <c r="U42" s="38"/>
      <c r="V42" s="38"/>
      <c r="W42" s="38"/>
      <c r="X42" s="38"/>
      <c r="Y42" s="39"/>
      <c r="Z42" s="38"/>
      <c r="AA42" s="38"/>
      <c r="AB42" s="38"/>
      <c r="AC42" s="38"/>
      <c r="AD42" s="39"/>
      <c r="AE42" s="38"/>
      <c r="AF42" s="38"/>
      <c r="AG42" s="38"/>
      <c r="AH42" s="38"/>
      <c r="AI42" s="39"/>
      <c r="AJ42" s="44"/>
      <c r="AK42" s="39"/>
      <c r="AL42" s="37"/>
      <c r="AM42" s="37"/>
    </row>
    <row r="43" spans="1:39">
      <c r="A43" s="19">
        <f t="shared" si="1"/>
        <v>13</v>
      </c>
      <c r="B43" s="15">
        <v>15</v>
      </c>
      <c r="C43" s="22">
        <v>13</v>
      </c>
      <c r="D43" s="16" t="s">
        <v>237</v>
      </c>
      <c r="E43" s="22"/>
      <c r="F43" s="16"/>
      <c r="G43" s="16" t="s">
        <v>240</v>
      </c>
      <c r="H43" s="16" t="s">
        <v>244</v>
      </c>
      <c r="I43" s="17"/>
      <c r="J43" s="34">
        <v>2.2999999999999998</v>
      </c>
      <c r="K43" s="33">
        <v>2.5</v>
      </c>
      <c r="L43" s="33">
        <v>2.5</v>
      </c>
      <c r="M43" s="55">
        <v>0</v>
      </c>
      <c r="N43" s="55">
        <v>1</v>
      </c>
      <c r="O43" s="56">
        <v>0</v>
      </c>
      <c r="P43" s="56">
        <v>0.9</v>
      </c>
      <c r="Q43" s="49" t="s">
        <v>280</v>
      </c>
      <c r="R43" s="49" t="s">
        <v>274</v>
      </c>
      <c r="S43" s="25">
        <v>21.1</v>
      </c>
      <c r="T43" s="26">
        <f>(J43+K43+L43)+IF((VLOOKUP(Q43,MogulsDD!$A$1:$C$1000,3,FALSE)*(M43+O43)/2)&gt;3.75,3.75,VLOOKUP(Q43,MogulsDD!$A$1:$C$1000,3,FALSE)*(M43+O43)/2)+IF((VLOOKUP(R43,MogulsDD!$A$1:$C$1000,3,FALSE)*(N43+P43)/2)&gt;3.75,3.75,VLOOKUP(R43,MogulsDD!$A$1:$C$1000,3,FALSE)*(N43+P43)/2)+IF((18-12*S43/$J$5)&gt;7.5,7.5,IF((18-12*S43/$J$5)&lt;0,0,(18-12*S43/$J$5)))</f>
        <v>11.478072282299372</v>
      </c>
      <c r="U43" s="38"/>
      <c r="V43" s="38"/>
      <c r="W43" s="38"/>
      <c r="X43" s="38"/>
      <c r="Y43" s="39"/>
      <c r="Z43" s="38"/>
      <c r="AA43" s="38"/>
      <c r="AB43" s="38"/>
      <c r="AC43" s="38"/>
      <c r="AD43" s="39"/>
      <c r="AE43" s="38"/>
      <c r="AF43" s="38"/>
      <c r="AG43" s="38"/>
      <c r="AH43" s="38"/>
      <c r="AI43" s="39"/>
      <c r="AJ43" s="44"/>
      <c r="AK43" s="39"/>
      <c r="AL43" s="37"/>
      <c r="AM43" s="37"/>
    </row>
    <row r="44" spans="1:39">
      <c r="A44" s="19">
        <f t="shared" si="1"/>
        <v>14</v>
      </c>
      <c r="B44" s="32">
        <v>29</v>
      </c>
      <c r="C44" s="22">
        <v>1</v>
      </c>
      <c r="D44" s="22" t="s">
        <v>116</v>
      </c>
      <c r="E44" s="22"/>
      <c r="F44" s="22"/>
      <c r="G44" s="22" t="s">
        <v>122</v>
      </c>
      <c r="H44" s="22" t="s">
        <v>117</v>
      </c>
      <c r="I44" s="23" t="s">
        <v>103</v>
      </c>
      <c r="J44" s="35">
        <v>2.5</v>
      </c>
      <c r="K44" s="28">
        <v>2.4</v>
      </c>
      <c r="L44" s="28">
        <v>2</v>
      </c>
      <c r="M44" s="52">
        <v>0</v>
      </c>
      <c r="N44" s="52">
        <v>1.5</v>
      </c>
      <c r="O44" s="49">
        <v>0</v>
      </c>
      <c r="P44" s="49">
        <v>1.3</v>
      </c>
      <c r="Q44" s="49" t="s">
        <v>280</v>
      </c>
      <c r="R44" s="49" t="s">
        <v>279</v>
      </c>
      <c r="S44" s="25">
        <v>22.64</v>
      </c>
      <c r="T44" s="26">
        <f>(J44+K44+L44)+IF((VLOOKUP(Q44,MogulsDD!$A$1:$C$1000,3,FALSE)*(M44+O44)/2)&gt;3.75,3.75,VLOOKUP(Q44,MogulsDD!$A$1:$C$1000,3,FALSE)*(M44+O44)/2)+IF((VLOOKUP(R44,MogulsDD!$A$1:$C$1000,3,FALSE)*(N44+P44)/2)&gt;3.75,3.75,VLOOKUP(R44,MogulsDD!$A$1:$C$1000,3,FALSE)*(N44+P44)/2)+IF((18-12*S44/$J$5)&gt;7.5,7.5,IF((18-12*S44/$J$5)&lt;0,0,(18-12*S44/$J$5)))</f>
        <v>10.291279453614116</v>
      </c>
      <c r="U44" s="38"/>
      <c r="V44" s="38"/>
      <c r="W44" s="38"/>
      <c r="X44" s="38"/>
      <c r="Y44" s="39"/>
      <c r="Z44" s="38"/>
      <c r="AA44" s="38"/>
      <c r="AB44" s="38"/>
      <c r="AC44" s="38"/>
      <c r="AD44" s="39"/>
      <c r="AE44" s="38"/>
      <c r="AF44" s="38"/>
      <c r="AG44" s="38"/>
      <c r="AH44" s="38"/>
      <c r="AI44" s="39"/>
      <c r="AJ44" s="44"/>
      <c r="AK44" s="39"/>
      <c r="AL44" s="37"/>
      <c r="AM44" s="37"/>
    </row>
    <row r="45" spans="1:39">
      <c r="A45" s="19">
        <f t="shared" si="1"/>
        <v>15</v>
      </c>
      <c r="B45" s="32">
        <v>20</v>
      </c>
      <c r="C45" s="22">
        <v>22</v>
      </c>
      <c r="D45" s="22" t="s">
        <v>107</v>
      </c>
      <c r="E45" s="22"/>
      <c r="F45" s="22" t="s">
        <v>108</v>
      </c>
      <c r="G45" s="22" t="s">
        <v>122</v>
      </c>
      <c r="H45" s="22" t="s">
        <v>109</v>
      </c>
      <c r="I45" s="23" t="s">
        <v>103</v>
      </c>
      <c r="J45" s="35">
        <v>2.8</v>
      </c>
      <c r="K45" s="28">
        <v>2.6</v>
      </c>
      <c r="L45" s="28">
        <v>2.4</v>
      </c>
      <c r="M45" s="52">
        <v>0.9</v>
      </c>
      <c r="N45" s="52">
        <v>0.2</v>
      </c>
      <c r="O45" s="49">
        <v>0.6</v>
      </c>
      <c r="P45" s="49">
        <v>0.2</v>
      </c>
      <c r="Q45" s="49" t="s">
        <v>281</v>
      </c>
      <c r="R45" s="49" t="s">
        <v>275</v>
      </c>
      <c r="S45" s="25">
        <v>24.83</v>
      </c>
      <c r="T45" s="26">
        <f>(J45+K45+L45)+IF((VLOOKUP(Q45,MogulsDD!$A$1:$C$1000,3,FALSE)*(M45+O45)/2)&gt;3.75,3.75,VLOOKUP(Q45,MogulsDD!$A$1:$C$1000,3,FALSE)*(M45+O45)/2)+IF((VLOOKUP(R45,MogulsDD!$A$1:$C$1000,3,FALSE)*(N45+P45)/2)&gt;3.75,3.75,VLOOKUP(R45,MogulsDD!$A$1:$C$1000,3,FALSE)*(N45+P45)/2)+IF((18-12*S45/$J$5)&gt;7.5,7.5,IF((18-12*S45/$J$5)&lt;0,0,(18-12*S45/$J$5)))</f>
        <v>9.4570480933409247</v>
      </c>
      <c r="U45" s="38"/>
      <c r="V45" s="38"/>
      <c r="W45" s="38"/>
      <c r="X45" s="38"/>
      <c r="Y45" s="39"/>
      <c r="Z45" s="38"/>
      <c r="AA45" s="38"/>
      <c r="AB45" s="38"/>
      <c r="AC45" s="38"/>
      <c r="AD45" s="39"/>
      <c r="AE45" s="38"/>
      <c r="AF45" s="38"/>
      <c r="AG45" s="38"/>
      <c r="AH45" s="38"/>
      <c r="AI45" s="39"/>
      <c r="AJ45" s="44"/>
      <c r="AK45" s="39"/>
      <c r="AL45" s="37"/>
      <c r="AM45" s="37"/>
    </row>
    <row r="46" spans="1:39">
      <c r="A46" s="19">
        <f t="shared" si="1"/>
        <v>16</v>
      </c>
      <c r="B46" s="32">
        <v>104</v>
      </c>
      <c r="C46" s="22">
        <v>3</v>
      </c>
      <c r="D46" s="22" t="s">
        <v>112</v>
      </c>
      <c r="E46" s="22">
        <v>2530279</v>
      </c>
      <c r="F46" s="22" t="s">
        <v>113</v>
      </c>
      <c r="G46" s="22" t="s">
        <v>122</v>
      </c>
      <c r="H46" s="22" t="s">
        <v>114</v>
      </c>
      <c r="I46" s="23" t="s">
        <v>115</v>
      </c>
      <c r="J46" s="35">
        <v>0.3</v>
      </c>
      <c r="K46" s="28">
        <v>0.8</v>
      </c>
      <c r="L46" s="28">
        <v>0.7</v>
      </c>
      <c r="M46" s="52">
        <v>1</v>
      </c>
      <c r="N46" s="52">
        <v>0.1</v>
      </c>
      <c r="O46" s="49">
        <v>1.4</v>
      </c>
      <c r="P46" s="49">
        <v>0.1</v>
      </c>
      <c r="Q46" s="49" t="s">
        <v>61</v>
      </c>
      <c r="R46" s="49" t="s">
        <v>286</v>
      </c>
      <c r="S46" s="25">
        <v>23.14</v>
      </c>
      <c r="T46" s="26">
        <f>(J46+K46+L46)+IF((VLOOKUP(Q46,MogulsDD!$A$1:$C$1000,3,FALSE)*(M46+O46)/2)&gt;3.75,3.75,VLOOKUP(Q46,MogulsDD!$A$1:$C$1000,3,FALSE)*(M46+O46)/2)+IF((VLOOKUP(R46,MogulsDD!$A$1:$C$1000,3,FALSE)*(N46+P46)/2)&gt;3.75,3.75,VLOOKUP(R46,MogulsDD!$A$1:$C$1000,3,FALSE)*(N46+P46)/2)+IF((18-12*S46/$J$5)&gt;7.5,7.5,IF((18-12*S46/$J$5)&lt;0,0,(18-12*S46/$J$5)))</f>
        <v>5.3647882754695502</v>
      </c>
      <c r="U46" s="38"/>
      <c r="V46" s="38"/>
      <c r="W46" s="38"/>
      <c r="X46" s="38"/>
      <c r="Y46" s="39"/>
      <c r="Z46" s="38"/>
      <c r="AA46" s="38"/>
      <c r="AB46" s="38"/>
      <c r="AC46" s="38"/>
      <c r="AD46" s="39"/>
      <c r="AE46" s="38"/>
      <c r="AF46" s="38"/>
      <c r="AG46" s="38"/>
      <c r="AH46" s="38"/>
      <c r="AI46" s="39"/>
      <c r="AJ46" s="44"/>
      <c r="AK46" s="39"/>
      <c r="AL46" s="37"/>
      <c r="AM46" s="37"/>
    </row>
    <row r="47" spans="1:39">
      <c r="A47" s="19">
        <f t="shared" si="1"/>
        <v>17</v>
      </c>
      <c r="B47" s="32">
        <v>43</v>
      </c>
      <c r="C47" s="22">
        <v>7</v>
      </c>
      <c r="D47" s="22" t="s">
        <v>163</v>
      </c>
      <c r="E47" s="22"/>
      <c r="F47" s="22" t="s">
        <v>164</v>
      </c>
      <c r="G47" s="22" t="s">
        <v>209</v>
      </c>
      <c r="H47" s="22" t="s">
        <v>165</v>
      </c>
      <c r="I47" s="23" t="s">
        <v>103</v>
      </c>
      <c r="J47" s="35">
        <v>0.5</v>
      </c>
      <c r="K47" s="28">
        <v>0.4</v>
      </c>
      <c r="L47" s="28">
        <v>0.1</v>
      </c>
      <c r="M47" s="52">
        <v>1.1000000000000001</v>
      </c>
      <c r="N47" s="52">
        <v>0.4</v>
      </c>
      <c r="O47" s="49">
        <v>0.9</v>
      </c>
      <c r="P47" s="49">
        <v>0.4</v>
      </c>
      <c r="Q47" s="49" t="s">
        <v>279</v>
      </c>
      <c r="R47" s="49" t="s">
        <v>61</v>
      </c>
      <c r="S47" s="25">
        <v>23.84</v>
      </c>
      <c r="T47" s="26">
        <f>(J47+K47+L47)+IF((VLOOKUP(Q47,MogulsDD!$A$1:$C$1000,3,FALSE)*(M47+O47)/2)&gt;3.75,3.75,VLOOKUP(Q47,MogulsDD!$A$1:$C$1000,3,FALSE)*(M47+O47)/2)+IF((VLOOKUP(R47,MogulsDD!$A$1:$C$1000,3,FALSE)*(N47+P47)/2)&gt;3.75,3.75,VLOOKUP(R47,MogulsDD!$A$1:$C$1000,3,FALSE)*(N47+P47)/2)+IF((18-12*S47/$J$5)&gt;7.5,7.5,IF((18-12*S47/$J$5)&lt;0,0,(18-12*S47/$J$5)))</f>
        <v>3.7477006260671595</v>
      </c>
      <c r="U47" s="38"/>
      <c r="V47" s="38"/>
      <c r="W47" s="38"/>
      <c r="X47" s="38"/>
      <c r="Y47" s="39"/>
      <c r="Z47" s="38"/>
      <c r="AA47" s="38"/>
      <c r="AB47" s="38"/>
      <c r="AC47" s="38"/>
      <c r="AD47" s="39"/>
      <c r="AE47" s="38"/>
      <c r="AF47" s="38"/>
      <c r="AG47" s="38"/>
      <c r="AH47" s="38"/>
      <c r="AI47" s="39"/>
      <c r="AJ47" s="44"/>
      <c r="AK47" s="39"/>
      <c r="AL47" s="37"/>
      <c r="AM47" s="37"/>
    </row>
    <row r="48" spans="1:39">
      <c r="A48" s="19">
        <f t="shared" si="1"/>
        <v>18</v>
      </c>
      <c r="B48" s="32">
        <v>17</v>
      </c>
      <c r="C48" s="22">
        <v>8</v>
      </c>
      <c r="D48" s="22" t="s">
        <v>166</v>
      </c>
      <c r="E48" s="22"/>
      <c r="F48" s="22" t="s">
        <v>164</v>
      </c>
      <c r="G48" s="22" t="s">
        <v>209</v>
      </c>
      <c r="H48" s="22" t="s">
        <v>167</v>
      </c>
      <c r="I48" s="23" t="s">
        <v>133</v>
      </c>
      <c r="J48" s="35">
        <v>0.3</v>
      </c>
      <c r="K48" s="28">
        <v>0.3</v>
      </c>
      <c r="L48" s="28">
        <v>0.4</v>
      </c>
      <c r="M48" s="52">
        <v>1.9</v>
      </c>
      <c r="N48" s="52">
        <v>0.1</v>
      </c>
      <c r="O48" s="49">
        <v>2</v>
      </c>
      <c r="P48" s="49">
        <v>0.1</v>
      </c>
      <c r="Q48" s="49" t="s">
        <v>279</v>
      </c>
      <c r="R48" s="49" t="s">
        <v>272</v>
      </c>
      <c r="S48" s="25">
        <v>25.49</v>
      </c>
      <c r="T48" s="26">
        <f>(J48+K48+L48)+IF((VLOOKUP(Q48,MogulsDD!$A$1:$C$1000,3,FALSE)*(M48+O48)/2)&gt;3.75,3.75,VLOOKUP(Q48,MogulsDD!$A$1:$C$1000,3,FALSE)*(M48+O48)/2)+IF((VLOOKUP(R48,MogulsDD!$A$1:$C$1000,3,FALSE)*(N48+P48)/2)&gt;3.75,3.75,VLOOKUP(R48,MogulsDD!$A$1:$C$1000,3,FALSE)*(N48+P48)/2)+IF((18-12*S48/$J$5)&gt;7.5,7.5,IF((18-12*S48/$J$5)&lt;0,0,(18-12*S48/$J$5)))</f>
        <v>2.8902797381900966</v>
      </c>
      <c r="U48" s="38"/>
      <c r="V48" s="38"/>
      <c r="W48" s="38"/>
      <c r="X48" s="38"/>
      <c r="Y48" s="39"/>
      <c r="Z48" s="38"/>
      <c r="AA48" s="38"/>
      <c r="AB48" s="38"/>
      <c r="AC48" s="38"/>
      <c r="AD48" s="39"/>
      <c r="AE48" s="38"/>
      <c r="AF48" s="38"/>
      <c r="AG48" s="38"/>
      <c r="AH48" s="38"/>
      <c r="AI48" s="39"/>
      <c r="AJ48" s="44"/>
      <c r="AK48" s="39"/>
      <c r="AL48" s="37"/>
      <c r="AM48" s="37"/>
    </row>
    <row r="49" spans="1:39">
      <c r="A49" s="19">
        <f t="shared" si="1"/>
        <v>19</v>
      </c>
      <c r="B49" s="32">
        <v>36</v>
      </c>
      <c r="C49" s="22">
        <v>18</v>
      </c>
      <c r="D49" s="22" t="s">
        <v>188</v>
      </c>
      <c r="E49" s="22"/>
      <c r="F49" s="22" t="s">
        <v>189</v>
      </c>
      <c r="G49" s="22" t="s">
        <v>122</v>
      </c>
      <c r="H49" s="22" t="s">
        <v>190</v>
      </c>
      <c r="I49" s="23" t="s">
        <v>121</v>
      </c>
      <c r="J49" s="35">
        <v>0.1</v>
      </c>
      <c r="K49" s="28">
        <v>0.1</v>
      </c>
      <c r="L49" s="28">
        <v>0.1</v>
      </c>
      <c r="M49" s="52">
        <v>1.2</v>
      </c>
      <c r="N49" s="52">
        <v>0</v>
      </c>
      <c r="O49" s="49">
        <v>1.1000000000000001</v>
      </c>
      <c r="P49" s="49">
        <v>0</v>
      </c>
      <c r="Q49" s="49" t="s">
        <v>276</v>
      </c>
      <c r="R49" s="49" t="s">
        <v>63</v>
      </c>
      <c r="S49" s="25">
        <v>27.49</v>
      </c>
      <c r="T49" s="26">
        <f>(J49+K49+L49)+IF((VLOOKUP(Q49,MogulsDD!$A$1:$C$1000,3,FALSE)*(M49+O49)/2)&gt;3.75,3.75,VLOOKUP(Q49,MogulsDD!$A$1:$C$1000,3,FALSE)*(M49+O49)/2)+IF((VLOOKUP(R49,MogulsDD!$A$1:$C$1000,3,FALSE)*(N49+P49)/2)&gt;3.75,3.75,VLOOKUP(R49,MogulsDD!$A$1:$C$1000,3,FALSE)*(N49+P49)/2)+IF((18-12*S49/$J$5)&gt;7.5,7.5,IF((18-12*S49/$J$5)&lt;0,0,(18-12*S49/$J$5)))</f>
        <v>1.5075000000000001</v>
      </c>
      <c r="U49" s="38"/>
      <c r="V49" s="38"/>
      <c r="W49" s="38"/>
      <c r="X49" s="38"/>
      <c r="Y49" s="39"/>
      <c r="Z49" s="38"/>
      <c r="AA49" s="38"/>
      <c r="AB49" s="38"/>
      <c r="AC49" s="38"/>
      <c r="AD49" s="39"/>
      <c r="AE49" s="38"/>
      <c r="AF49" s="38"/>
      <c r="AG49" s="38"/>
      <c r="AH49" s="38"/>
      <c r="AI49" s="39"/>
      <c r="AJ49" s="44"/>
      <c r="AK49" s="39"/>
      <c r="AL49" s="37"/>
      <c r="AM49" s="37"/>
    </row>
    <row r="50" spans="1:39">
      <c r="A50" s="19">
        <f t="shared" si="1"/>
        <v>20</v>
      </c>
      <c r="B50" s="32">
        <v>14</v>
      </c>
      <c r="C50" s="22">
        <v>23</v>
      </c>
      <c r="D50" s="22" t="s">
        <v>269</v>
      </c>
      <c r="E50" s="22"/>
      <c r="F50" s="22"/>
      <c r="G50" s="22" t="s">
        <v>122</v>
      </c>
      <c r="H50" s="22" t="s">
        <v>268</v>
      </c>
      <c r="I50" s="23"/>
      <c r="J50" s="35">
        <v>0.1</v>
      </c>
      <c r="K50" s="28">
        <v>0.4</v>
      </c>
      <c r="L50" s="28">
        <v>0.5</v>
      </c>
      <c r="M50" s="52">
        <v>0</v>
      </c>
      <c r="N50" s="52">
        <v>0.3</v>
      </c>
      <c r="O50" s="49">
        <v>0</v>
      </c>
      <c r="P50" s="49">
        <v>0.8</v>
      </c>
      <c r="Q50" s="49" t="s">
        <v>63</v>
      </c>
      <c r="R50" s="49" t="s">
        <v>279</v>
      </c>
      <c r="S50" s="25">
        <v>27.72</v>
      </c>
      <c r="T50" s="26">
        <f>(J50+K50+L50)+IF((VLOOKUP(Q50,MogulsDD!$A$1:$C$1000,3,FALSE)*(M50+O50)/2)&gt;3.75,3.75,VLOOKUP(Q50,MogulsDD!$A$1:$C$1000,3,FALSE)*(M50+O50)/2)+IF((VLOOKUP(R50,MogulsDD!$A$1:$C$1000,3,FALSE)*(N50+P50)/2)&gt;3.75,3.75,VLOOKUP(R50,MogulsDD!$A$1:$C$1000,3,FALSE)*(N50+P50)/2)+IF((18-12*S50/$J$5)&gt;7.5,7.5,IF((18-12*S50/$J$5)&lt;0,0,(18-12*S50/$J$5)))</f>
        <v>1.3355000000000001</v>
      </c>
      <c r="U50" s="38"/>
      <c r="V50" s="38"/>
      <c r="W50" s="38"/>
      <c r="X50" s="38"/>
      <c r="Y50" s="39"/>
      <c r="Z50" s="38"/>
      <c r="AA50" s="38"/>
      <c r="AB50" s="38"/>
      <c r="AC50" s="38"/>
      <c r="AD50" s="39"/>
      <c r="AE50" s="38"/>
      <c r="AF50" s="38"/>
      <c r="AG50" s="38"/>
      <c r="AH50" s="38"/>
      <c r="AI50" s="39"/>
      <c r="AJ50" s="44"/>
      <c r="AK50" s="39"/>
      <c r="AL50" s="37"/>
      <c r="AM50" s="37"/>
    </row>
    <row r="51" spans="1:39">
      <c r="A51" s="19">
        <f t="shared" si="1"/>
        <v>21</v>
      </c>
      <c r="B51" s="32">
        <v>2</v>
      </c>
      <c r="C51" s="22">
        <v>12</v>
      </c>
      <c r="D51" s="22" t="s">
        <v>191</v>
      </c>
      <c r="E51" s="22"/>
      <c r="F51" s="22" t="s">
        <v>192</v>
      </c>
      <c r="G51" s="22" t="s">
        <v>122</v>
      </c>
      <c r="H51" s="22" t="s">
        <v>193</v>
      </c>
      <c r="I51" s="23" t="s">
        <v>137</v>
      </c>
      <c r="J51" s="35">
        <v>0.1</v>
      </c>
      <c r="K51" s="28">
        <v>0.1</v>
      </c>
      <c r="L51" s="28">
        <v>0.1</v>
      </c>
      <c r="M51" s="52">
        <v>1.4</v>
      </c>
      <c r="N51" s="52">
        <v>0</v>
      </c>
      <c r="O51" s="49">
        <v>1.5</v>
      </c>
      <c r="P51" s="49">
        <v>0</v>
      </c>
      <c r="Q51" s="49" t="s">
        <v>280</v>
      </c>
      <c r="R51" s="49" t="s">
        <v>63</v>
      </c>
      <c r="S51" s="25">
        <v>34.08</v>
      </c>
      <c r="T51" s="26">
        <f>(J51+K51+L51)+IF((VLOOKUP(Q51,MogulsDD!$A$1:$C$1000,3,FALSE)*(M51+O51)/2)&gt;3.75,3.75,VLOOKUP(Q51,MogulsDD!$A$1:$C$1000,3,FALSE)*(M51+O51)/2)+IF((VLOOKUP(R51,MogulsDD!$A$1:$C$1000,3,FALSE)*(N51+P51)/2)&gt;3.75,3.75,VLOOKUP(R51,MogulsDD!$A$1:$C$1000,3,FALSE)*(N51+P51)/2)+IF((18-12*S51/$J$5)&gt;7.5,7.5,IF((18-12*S51/$J$5)&lt;0,0,(18-12*S51/$J$5)))</f>
        <v>1.1265000000000001</v>
      </c>
      <c r="U51" s="38"/>
      <c r="V51" s="38"/>
      <c r="W51" s="38"/>
      <c r="X51" s="38"/>
      <c r="Y51" s="39"/>
      <c r="Z51" s="38"/>
      <c r="AA51" s="38"/>
      <c r="AB51" s="38"/>
      <c r="AC51" s="38"/>
      <c r="AD51" s="39"/>
      <c r="AE51" s="38"/>
      <c r="AF51" s="38"/>
      <c r="AG51" s="38"/>
      <c r="AH51" s="38"/>
      <c r="AI51" s="39"/>
      <c r="AJ51" s="44"/>
      <c r="AK51" s="39"/>
      <c r="AL51" s="37"/>
      <c r="AM51" s="37"/>
    </row>
    <row r="52" spans="1:39">
      <c r="A52" s="19">
        <f t="shared" si="1"/>
        <v>22</v>
      </c>
      <c r="B52" s="32">
        <v>84</v>
      </c>
      <c r="C52" s="22">
        <v>5</v>
      </c>
      <c r="D52" s="22" t="s">
        <v>194</v>
      </c>
      <c r="E52" s="22"/>
      <c r="F52" s="22" t="s">
        <v>192</v>
      </c>
      <c r="G52" s="22" t="s">
        <v>122</v>
      </c>
      <c r="H52" s="22" t="s">
        <v>195</v>
      </c>
      <c r="I52" s="23" t="s">
        <v>196</v>
      </c>
      <c r="J52" s="35">
        <v>0</v>
      </c>
      <c r="K52" s="28">
        <v>0</v>
      </c>
      <c r="L52" s="28">
        <v>0</v>
      </c>
      <c r="M52" s="52">
        <v>0</v>
      </c>
      <c r="N52" s="52">
        <v>0</v>
      </c>
      <c r="O52" s="49">
        <v>0</v>
      </c>
      <c r="P52" s="49">
        <v>0</v>
      </c>
      <c r="Q52" s="49" t="s">
        <v>63</v>
      </c>
      <c r="R52" s="49" t="s">
        <v>63</v>
      </c>
      <c r="S52" s="25">
        <v>9999</v>
      </c>
      <c r="T52" s="26">
        <f>(J52+K52+L52)+IF((VLOOKUP(Q52,MogulsDD!$A$1:$C$1000,3,FALSE)*(M52+O52)/2)&gt;3.75,3.75,VLOOKUP(Q52,MogulsDD!$A$1:$C$1000,3,FALSE)*(M52+O52)/2)+IF((VLOOKUP(R52,MogulsDD!$A$1:$C$1000,3,FALSE)*(N52+P52)/2)&gt;3.75,3.75,VLOOKUP(R52,MogulsDD!$A$1:$C$1000,3,FALSE)*(N52+P52)/2)+IF((18-12*S52/$J$5)&gt;7.5,7.5,IF((18-12*S52/$J$5)&lt;0,0,(18-12*S52/$J$5)))</f>
        <v>0</v>
      </c>
      <c r="U52" s="38"/>
      <c r="V52" s="38"/>
      <c r="W52" s="38"/>
      <c r="X52" s="38"/>
      <c r="Y52" s="39"/>
      <c r="Z52" s="38"/>
      <c r="AA52" s="38"/>
      <c r="AB52" s="38"/>
      <c r="AC52" s="38"/>
      <c r="AD52" s="39"/>
      <c r="AE52" s="38"/>
      <c r="AF52" s="38"/>
      <c r="AG52" s="38"/>
      <c r="AH52" s="38"/>
      <c r="AI52" s="39"/>
      <c r="AJ52" s="44"/>
      <c r="AK52" s="39"/>
      <c r="AL52" s="37"/>
      <c r="AM52" s="37"/>
    </row>
    <row r="53" spans="1:39">
      <c r="A53" s="19">
        <f t="shared" si="1"/>
        <v>22</v>
      </c>
      <c r="B53" s="32"/>
      <c r="C53" s="22"/>
      <c r="D53" s="22"/>
      <c r="E53" s="22"/>
      <c r="F53" s="22"/>
      <c r="G53" s="22"/>
      <c r="H53" s="22"/>
      <c r="I53" s="23"/>
      <c r="J53" s="35"/>
      <c r="K53" s="28"/>
      <c r="L53" s="28"/>
      <c r="M53" s="52"/>
      <c r="N53" s="52"/>
      <c r="O53" s="49"/>
      <c r="P53" s="49"/>
      <c r="Q53" s="49" t="s">
        <v>63</v>
      </c>
      <c r="R53" s="49" t="s">
        <v>63</v>
      </c>
      <c r="S53" s="25">
        <v>9999</v>
      </c>
      <c r="T53" s="26">
        <f>(J53+K53+L53)+IF((VLOOKUP(Q53,MogulsDD!$A$1:$C$1000,3,FALSE)*(M53+O53)/2)&gt;3.75,3.75,VLOOKUP(Q53,MogulsDD!$A$1:$C$1000,3,FALSE)*(M53+O53)/2)+IF((VLOOKUP(R53,MogulsDD!$A$1:$C$1000,3,FALSE)*(N53+P53)/2)&gt;3.75,3.75,VLOOKUP(R53,MogulsDD!$A$1:$C$1000,3,FALSE)*(N53+P53)/2)+IF((18-12*S53/$J$5)&gt;7.5,7.5,IF((18-12*S53/$J$5)&lt;0,0,(18-12*S53/$J$5)))</f>
        <v>0</v>
      </c>
      <c r="U53" s="38"/>
      <c r="V53" s="38"/>
      <c r="W53" s="38"/>
      <c r="X53" s="38"/>
      <c r="Y53" s="39"/>
      <c r="Z53" s="38"/>
      <c r="AA53" s="38"/>
      <c r="AB53" s="38"/>
      <c r="AC53" s="38"/>
      <c r="AD53" s="39"/>
      <c r="AE53" s="38"/>
      <c r="AF53" s="38"/>
      <c r="AG53" s="38"/>
      <c r="AH53" s="38"/>
      <c r="AI53" s="39"/>
      <c r="AJ53" s="44"/>
      <c r="AK53" s="39"/>
      <c r="AL53" s="37"/>
      <c r="AM53" s="37"/>
    </row>
    <row r="54" spans="1:39"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7"/>
      <c r="AM54" s="37"/>
    </row>
    <row r="55" spans="1:39"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7"/>
      <c r="AM55" s="37"/>
    </row>
    <row r="56" spans="1:39"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7"/>
      <c r="AM56" s="37"/>
    </row>
    <row r="57" spans="1:39"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7"/>
      <c r="AM57" s="37"/>
    </row>
    <row r="58" spans="1:39"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7"/>
      <c r="AM58" s="37"/>
    </row>
    <row r="59" spans="1:39"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7"/>
      <c r="AM59" s="37"/>
    </row>
    <row r="60" spans="1:39"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7"/>
      <c r="AM60" s="37"/>
    </row>
    <row r="61" spans="1:39"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7"/>
      <c r="AM61" s="37"/>
    </row>
    <row r="62" spans="1:39"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7"/>
      <c r="AM62" s="37"/>
    </row>
    <row r="63" spans="1:39"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7"/>
      <c r="AM63" s="37"/>
    </row>
    <row r="64" spans="1:39"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7"/>
      <c r="AM64" s="37"/>
    </row>
    <row r="65" spans="21:39"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7"/>
      <c r="AM65" s="37"/>
    </row>
    <row r="66" spans="21:39"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7"/>
      <c r="AM66" s="37"/>
    </row>
    <row r="67" spans="21:39"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7"/>
      <c r="AM67" s="37"/>
    </row>
    <row r="68" spans="21:39"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7"/>
      <c r="AM68" s="37"/>
    </row>
    <row r="69" spans="21:39"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7"/>
      <c r="AM69" s="37"/>
    </row>
    <row r="70" spans="21:39"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7"/>
      <c r="AM70" s="37"/>
    </row>
    <row r="71" spans="21:39"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7"/>
      <c r="AM71" s="37"/>
    </row>
    <row r="72" spans="21:39"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7"/>
      <c r="AM72" s="37"/>
    </row>
    <row r="73" spans="21:39"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7"/>
      <c r="AM73" s="37"/>
    </row>
    <row r="74" spans="21:39"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</row>
    <row r="75" spans="21:39"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</row>
    <row r="76" spans="21:39"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</row>
    <row r="77" spans="21:39"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</row>
    <row r="78" spans="21:39"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</row>
    <row r="79" spans="21:39"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</row>
    <row r="80" spans="21:39"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</row>
    <row r="81" spans="21:39"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</row>
    <row r="82" spans="21:39"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</row>
    <row r="83" spans="21:39"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</row>
    <row r="84" spans="21:39"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</row>
    <row r="85" spans="21:39"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</row>
    <row r="86" spans="21:39"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</row>
    <row r="87" spans="21:39"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</row>
    <row r="88" spans="21:39"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</row>
    <row r="89" spans="21:39"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</row>
    <row r="90" spans="21:39"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</row>
    <row r="91" spans="21:39"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</row>
    <row r="92" spans="21:39"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</row>
    <row r="93" spans="21:39"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</row>
    <row r="94" spans="21:39"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</row>
    <row r="95" spans="21:39"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</row>
  </sheetData>
  <sortState ref="B31:T53">
    <sortCondition descending="1" ref="T31:T53"/>
  </sortState>
  <mergeCells count="12">
    <mergeCell ref="A7:B7"/>
    <mergeCell ref="C7:F7"/>
    <mergeCell ref="A8:B8"/>
    <mergeCell ref="C8:F8"/>
    <mergeCell ref="A9:B9"/>
    <mergeCell ref="C9:F9"/>
    <mergeCell ref="A1:I1"/>
    <mergeCell ref="A2:I2"/>
    <mergeCell ref="A5:B5"/>
    <mergeCell ref="C5:F5"/>
    <mergeCell ref="A6:B6"/>
    <mergeCell ref="C6:F6"/>
  </mergeCells>
  <hyperlinks>
    <hyperlink ref="J2" r:id="rId1" display="http://data.fis-ski.com/dynamic/event-details.html?event_id=36203&amp;cal_suchsector=FS"/>
    <hyperlink ref="L2" r:id="rId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82"/>
  <sheetViews>
    <sheetView workbookViewId="0">
      <selection activeCell="I44" sqref="I44"/>
    </sheetView>
  </sheetViews>
  <sheetFormatPr defaultColWidth="11.44140625" defaultRowHeight="13.2"/>
  <cols>
    <col min="2" max="2" width="8.109375" customWidth="1"/>
    <col min="3" max="3" width="17.44140625" bestFit="1" customWidth="1"/>
    <col min="4" max="4" width="22" customWidth="1"/>
    <col min="5" max="5" width="18.44140625" customWidth="1"/>
    <col min="6" max="6" width="11.109375" customWidth="1"/>
    <col min="8" max="8" width="16.6640625" bestFit="1" customWidth="1"/>
    <col min="9" max="9" width="16.5546875" bestFit="1" customWidth="1"/>
  </cols>
  <sheetData>
    <row r="1" spans="1:39" ht="24.6">
      <c r="A1" s="159"/>
      <c r="B1" s="159"/>
      <c r="C1" s="159"/>
      <c r="D1" s="159"/>
      <c r="E1" s="159"/>
      <c r="F1" s="159"/>
      <c r="G1" s="159"/>
      <c r="H1" s="159"/>
      <c r="I1" s="15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9" ht="17.399999999999999">
      <c r="A2" s="160" t="s">
        <v>227</v>
      </c>
      <c r="B2" s="160"/>
      <c r="C2" s="160"/>
      <c r="D2" s="160"/>
      <c r="E2" s="160"/>
      <c r="F2" s="160"/>
      <c r="G2" s="160"/>
      <c r="H2" s="160"/>
      <c r="I2" s="160"/>
      <c r="J2" s="95" t="s">
        <v>198</v>
      </c>
      <c r="K2" s="1"/>
      <c r="L2" s="95" t="s">
        <v>197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9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9" ht="13.8" thickBot="1">
      <c r="A4" s="7"/>
      <c r="B4" s="1"/>
      <c r="C4" s="1"/>
      <c r="D4" s="1"/>
      <c r="E4" s="1"/>
      <c r="F4" s="1"/>
      <c r="G4" s="1"/>
      <c r="H4" s="1"/>
      <c r="I4" s="1"/>
      <c r="J4" s="1" t="s">
        <v>152</v>
      </c>
      <c r="K4" s="1" t="s">
        <v>151</v>
      </c>
      <c r="L4" s="1"/>
      <c r="M4" s="1" t="s">
        <v>11</v>
      </c>
      <c r="N4" s="1" t="s">
        <v>219</v>
      </c>
      <c r="O4" s="1"/>
      <c r="P4" s="1" t="s">
        <v>216</v>
      </c>
      <c r="Q4" s="1" t="s">
        <v>224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9">
      <c r="A5" s="161" t="s">
        <v>6</v>
      </c>
      <c r="B5" s="162"/>
      <c r="C5" s="163" t="s">
        <v>255</v>
      </c>
      <c r="D5" s="164"/>
      <c r="E5" s="164"/>
      <c r="F5" s="165"/>
      <c r="G5" s="1"/>
      <c r="H5" s="1"/>
      <c r="I5" s="36" t="s">
        <v>69</v>
      </c>
      <c r="J5" s="1">
        <v>17.57</v>
      </c>
      <c r="K5" s="1">
        <v>20.71</v>
      </c>
      <c r="L5" s="1"/>
      <c r="M5" s="1" t="s">
        <v>12</v>
      </c>
      <c r="N5" s="1" t="s">
        <v>220</v>
      </c>
      <c r="O5" s="1"/>
      <c r="P5" s="1" t="s">
        <v>217</v>
      </c>
      <c r="Q5" s="1" t="s">
        <v>222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9">
      <c r="A6" s="149" t="s">
        <v>7</v>
      </c>
      <c r="B6" s="150"/>
      <c r="C6" s="151" t="s">
        <v>230</v>
      </c>
      <c r="D6" s="152"/>
      <c r="E6" s="152"/>
      <c r="F6" s="153"/>
      <c r="G6" s="1"/>
      <c r="H6" s="1"/>
      <c r="I6" s="1"/>
      <c r="J6" s="1"/>
      <c r="K6" s="1"/>
      <c r="L6" s="1"/>
      <c r="M6" s="1" t="s">
        <v>15</v>
      </c>
      <c r="N6" s="1" t="s">
        <v>221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9">
      <c r="A7" s="149" t="s">
        <v>8</v>
      </c>
      <c r="B7" s="150"/>
      <c r="C7" s="151" t="s">
        <v>242</v>
      </c>
      <c r="D7" s="152"/>
      <c r="E7" s="152"/>
      <c r="F7" s="153"/>
      <c r="G7" s="1"/>
      <c r="H7" s="1"/>
      <c r="I7" s="1" t="s">
        <v>253</v>
      </c>
      <c r="J7" s="1"/>
      <c r="K7" s="1"/>
      <c r="L7" s="1"/>
      <c r="M7" s="1" t="s">
        <v>214</v>
      </c>
      <c r="N7" s="1" t="s">
        <v>222</v>
      </c>
      <c r="O7" s="1"/>
      <c r="P7" s="1" t="s">
        <v>225</v>
      </c>
      <c r="Q7" s="1" t="s">
        <v>226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9">
      <c r="A8" s="149" t="s">
        <v>9</v>
      </c>
      <c r="B8" s="150"/>
      <c r="C8" s="151" t="s">
        <v>104</v>
      </c>
      <c r="D8" s="152"/>
      <c r="E8" s="152"/>
      <c r="F8" s="153"/>
      <c r="G8" s="1"/>
      <c r="H8" s="1"/>
      <c r="I8" s="1"/>
      <c r="J8" s="1"/>
      <c r="K8" s="1"/>
      <c r="L8" s="1"/>
      <c r="M8" s="1" t="s">
        <v>215</v>
      </c>
      <c r="N8" s="1" t="s">
        <v>223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9" ht="13.8" thickBot="1">
      <c r="A9" s="154" t="s">
        <v>10</v>
      </c>
      <c r="B9" s="155"/>
      <c r="C9" s="156" t="s">
        <v>105</v>
      </c>
      <c r="D9" s="157"/>
      <c r="E9" s="157"/>
      <c r="F9" s="15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37"/>
      <c r="AL9" s="37"/>
      <c r="AM9" s="37"/>
    </row>
    <row r="10" spans="1:39" ht="13.8" thickBot="1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9"/>
      <c r="AL10" s="37"/>
      <c r="AM10" s="37"/>
    </row>
    <row r="11" spans="1:39" ht="13.8" thickBot="1">
      <c r="A11" s="8"/>
      <c r="B11" s="5"/>
      <c r="C11" s="5"/>
      <c r="D11" s="5"/>
      <c r="E11" s="20" t="s">
        <v>256</v>
      </c>
      <c r="F11" s="5"/>
      <c r="G11" s="5"/>
      <c r="H11" s="5"/>
      <c r="I11" s="6"/>
      <c r="J11" s="21"/>
      <c r="K11" s="9"/>
      <c r="L11" s="9"/>
      <c r="M11" s="9"/>
      <c r="N11" s="9"/>
      <c r="O11" s="9"/>
      <c r="P11" s="9"/>
      <c r="Q11" s="9"/>
      <c r="R11" s="9"/>
      <c r="S11" s="9"/>
      <c r="T11" s="45"/>
      <c r="U11" s="38"/>
      <c r="V11" s="38"/>
      <c r="W11" s="38"/>
      <c r="X11" s="38"/>
      <c r="Y11" s="38"/>
      <c r="Z11" s="38"/>
      <c r="AA11" s="38"/>
      <c r="AB11" s="38"/>
      <c r="AC11" s="38"/>
      <c r="AD11" s="40"/>
      <c r="AE11" s="38"/>
      <c r="AF11" s="38"/>
      <c r="AG11" s="38"/>
      <c r="AH11" s="38"/>
      <c r="AI11" s="40"/>
      <c r="AJ11" s="38"/>
      <c r="AK11" s="39"/>
      <c r="AL11" s="37"/>
      <c r="AM11" s="37"/>
    </row>
    <row r="12" spans="1:39" ht="13.8" thickBot="1">
      <c r="A12" s="2" t="s">
        <v>0</v>
      </c>
      <c r="B12" s="3" t="s">
        <v>1</v>
      </c>
      <c r="C12" s="3" t="s">
        <v>252</v>
      </c>
      <c r="D12" s="3" t="s">
        <v>111</v>
      </c>
      <c r="E12" s="3" t="s">
        <v>238</v>
      </c>
      <c r="F12" s="3" t="s">
        <v>16</v>
      </c>
      <c r="G12" s="3" t="s">
        <v>3</v>
      </c>
      <c r="H12" s="3" t="s">
        <v>4</v>
      </c>
      <c r="I12" s="4" t="s">
        <v>5</v>
      </c>
      <c r="J12" s="2" t="s">
        <v>11</v>
      </c>
      <c r="K12" s="3" t="s">
        <v>12</v>
      </c>
      <c r="L12" s="3" t="s">
        <v>13</v>
      </c>
      <c r="M12" s="3" t="s">
        <v>66</v>
      </c>
      <c r="N12" s="3" t="s">
        <v>65</v>
      </c>
      <c r="O12" s="3" t="s">
        <v>67</v>
      </c>
      <c r="P12" s="3" t="s">
        <v>68</v>
      </c>
      <c r="Q12" s="3" t="s">
        <v>59</v>
      </c>
      <c r="R12" s="3" t="s">
        <v>60</v>
      </c>
      <c r="S12" s="3" t="s">
        <v>22</v>
      </c>
      <c r="T12" s="46" t="s">
        <v>14</v>
      </c>
      <c r="U12" s="41"/>
      <c r="V12" s="41"/>
      <c r="W12" s="41"/>
      <c r="X12" s="41"/>
      <c r="Y12" s="42"/>
      <c r="Z12" s="41"/>
      <c r="AA12" s="41"/>
      <c r="AB12" s="41"/>
      <c r="AC12" s="41"/>
      <c r="AD12" s="42"/>
      <c r="AE12" s="41"/>
      <c r="AF12" s="41"/>
      <c r="AG12" s="41"/>
      <c r="AH12" s="41"/>
      <c r="AI12" s="42"/>
      <c r="AJ12" s="43"/>
      <c r="AK12" s="39"/>
      <c r="AL12" s="37"/>
      <c r="AM12" s="37"/>
    </row>
    <row r="13" spans="1:39">
      <c r="A13" s="19">
        <f t="shared" ref="A13:A20" si="0">RANK(T13,$T$13:$T$20,0)</f>
        <v>1</v>
      </c>
      <c r="B13" s="22">
        <v>87</v>
      </c>
      <c r="C13" s="22">
        <v>13</v>
      </c>
      <c r="D13" s="22" t="s">
        <v>153</v>
      </c>
      <c r="E13" s="22"/>
      <c r="F13" s="22" t="s">
        <v>154</v>
      </c>
      <c r="G13" s="22" t="s">
        <v>122</v>
      </c>
      <c r="H13" s="100" t="s">
        <v>155</v>
      </c>
      <c r="I13" s="23" t="s">
        <v>133</v>
      </c>
      <c r="J13" s="24">
        <v>2.9</v>
      </c>
      <c r="K13" s="25">
        <v>3</v>
      </c>
      <c r="L13" s="25">
        <v>2.6</v>
      </c>
      <c r="M13" s="51">
        <v>1</v>
      </c>
      <c r="N13" s="51">
        <v>1.4</v>
      </c>
      <c r="O13" s="49">
        <v>1</v>
      </c>
      <c r="P13" s="49">
        <v>1.6</v>
      </c>
      <c r="Q13" s="49" t="s">
        <v>273</v>
      </c>
      <c r="R13" s="49" t="s">
        <v>61</v>
      </c>
      <c r="S13" s="25">
        <v>21.58</v>
      </c>
      <c r="T13" s="26">
        <f>(J13+K13+L13)+IF((VLOOKUP(Q13,MogulsDD!$A$1:$D$1000,4,FALSE)*(M13+O13)/2)&gt;3.75,3.75,VLOOKUP(Q13,MogulsDD!$A$1:$D$1000,4,FALSE)*(M13+O13)/2)+IF((VLOOKUP(R13,MogulsDD!$A$1:$D$1000,4,FALSE)*(N13+P13)/2)&gt;3.75,3.75,VLOOKUP(R13,MogulsDD!$A$1:$D$1000,4,FALSE)*(N13+P13)/2)+IF((18-12*S13/$K$5)&gt;7.5,7.5,IF((18-12*S13/$K$5)&lt;0,0,(18-12*S13/$K$5)))</f>
        <v>16.695895702559149</v>
      </c>
      <c r="U13" s="38"/>
      <c r="V13" s="38"/>
      <c r="W13" s="38"/>
      <c r="X13" s="38"/>
      <c r="Y13" s="39"/>
      <c r="Z13" s="38"/>
      <c r="AA13" s="38"/>
      <c r="AB13" s="38"/>
      <c r="AC13" s="38"/>
      <c r="AD13" s="39"/>
      <c r="AE13" s="38"/>
      <c r="AF13" s="38"/>
      <c r="AG13" s="38"/>
      <c r="AH13" s="38"/>
      <c r="AI13" s="39"/>
      <c r="AJ13" s="44"/>
      <c r="AK13" s="39"/>
      <c r="AL13" s="37"/>
      <c r="AM13" s="37"/>
    </row>
    <row r="14" spans="1:39">
      <c r="A14" s="19">
        <f t="shared" si="0"/>
        <v>2</v>
      </c>
      <c r="B14" s="22">
        <v>86</v>
      </c>
      <c r="C14" s="22">
        <v>8</v>
      </c>
      <c r="D14" s="22" t="s">
        <v>233</v>
      </c>
      <c r="E14" s="22"/>
      <c r="F14" s="22"/>
      <c r="G14" s="22" t="s">
        <v>240</v>
      </c>
      <c r="H14" s="99" t="s">
        <v>248</v>
      </c>
      <c r="I14" s="23"/>
      <c r="J14" s="27">
        <v>2.4</v>
      </c>
      <c r="K14" s="28">
        <v>2.2999999999999998</v>
      </c>
      <c r="L14" s="28">
        <v>2.6</v>
      </c>
      <c r="M14" s="52">
        <v>1.8</v>
      </c>
      <c r="N14" s="52">
        <v>1.6</v>
      </c>
      <c r="O14" s="49">
        <v>2</v>
      </c>
      <c r="P14" s="49">
        <v>1.5</v>
      </c>
      <c r="Q14" s="49" t="s">
        <v>276</v>
      </c>
      <c r="R14" s="49" t="s">
        <v>274</v>
      </c>
      <c r="S14" s="25">
        <v>23.07</v>
      </c>
      <c r="T14" s="26">
        <f>(J14+K14+L14)+IF((VLOOKUP(Q14,MogulsDD!$A$1:$D$1000,4,FALSE)*(M14+O14)/2)&gt;3.75,3.75,VLOOKUP(Q14,MogulsDD!$A$1:$D$1000,4,FALSE)*(M14+O14)/2)+IF((VLOOKUP(R14,MogulsDD!$A$1:$D$1000,4,FALSE)*(N14+P14)/2)&gt;3.75,3.75,VLOOKUP(R14,MogulsDD!$A$1:$D$1000,4,FALSE)*(N14+P14)/2)+IF((18-12*S14/$K$5)&gt;7.5,7.5,IF((18-12*S14/$K$5)&lt;0,0,(18-12*S14/$K$5)))</f>
        <v>15.406044664413324</v>
      </c>
      <c r="U14" s="38"/>
      <c r="V14" s="38"/>
      <c r="W14" s="38"/>
      <c r="X14" s="38"/>
      <c r="Y14" s="39"/>
      <c r="Z14" s="38"/>
      <c r="AA14" s="38"/>
      <c r="AB14" s="38"/>
      <c r="AC14" s="38"/>
      <c r="AD14" s="39"/>
      <c r="AE14" s="38"/>
      <c r="AF14" s="38"/>
      <c r="AG14" s="38"/>
      <c r="AH14" s="38"/>
      <c r="AI14" s="39"/>
      <c r="AJ14" s="44"/>
      <c r="AK14" s="39"/>
      <c r="AL14" s="37"/>
      <c r="AM14" s="37"/>
    </row>
    <row r="15" spans="1:39">
      <c r="A15" s="19">
        <f t="shared" si="0"/>
        <v>3</v>
      </c>
      <c r="B15" s="22">
        <v>93</v>
      </c>
      <c r="C15" s="22">
        <v>14</v>
      </c>
      <c r="D15" s="22" t="s">
        <v>208</v>
      </c>
      <c r="E15" s="22">
        <v>2531506</v>
      </c>
      <c r="F15" s="22" t="s">
        <v>164</v>
      </c>
      <c r="G15" s="22" t="s">
        <v>209</v>
      </c>
      <c r="H15" s="22" t="s">
        <v>210</v>
      </c>
      <c r="I15" s="23" t="s">
        <v>211</v>
      </c>
      <c r="J15" s="27">
        <v>2.2000000000000002</v>
      </c>
      <c r="K15" s="28">
        <v>2.4</v>
      </c>
      <c r="L15" s="28">
        <v>2.1</v>
      </c>
      <c r="M15" s="52">
        <v>1.6</v>
      </c>
      <c r="N15" s="52">
        <v>0.4</v>
      </c>
      <c r="O15" s="49">
        <v>1.4</v>
      </c>
      <c r="P15" s="49">
        <v>0.3</v>
      </c>
      <c r="Q15" s="49" t="s">
        <v>279</v>
      </c>
      <c r="R15" s="49" t="s">
        <v>273</v>
      </c>
      <c r="S15" s="25">
        <v>21.48</v>
      </c>
      <c r="T15" s="26">
        <f>(J15+K15+L15)+IF((VLOOKUP(Q15,MogulsDD!$A$1:$D$1000,4,FALSE)*(M15+O15)/2)&gt;3.75,3.75,VLOOKUP(Q15,MogulsDD!$A$1:$D$1000,4,FALSE)*(M15+O15)/2)+IF((VLOOKUP(R15,MogulsDD!$A$1:$D$1000,4,FALSE)*(N15+P15)/2)&gt;3.75,3.75,VLOOKUP(R15,MogulsDD!$A$1:$D$1000,4,FALSE)*(N15+P15)/2)+IF((18-12*S15/$K$5)&gt;7.5,7.5,IF((18-12*S15/$K$5)&lt;0,0,(18-12*S15/$K$5)))</f>
        <v>13.708838725253502</v>
      </c>
      <c r="U15" s="38"/>
      <c r="V15" s="38"/>
      <c r="W15" s="38"/>
      <c r="X15" s="38"/>
      <c r="Y15" s="39"/>
      <c r="Z15" s="38"/>
      <c r="AA15" s="38"/>
      <c r="AB15" s="38"/>
      <c r="AC15" s="38"/>
      <c r="AD15" s="39"/>
      <c r="AE15" s="38"/>
      <c r="AF15" s="38"/>
      <c r="AG15" s="38"/>
      <c r="AH15" s="38"/>
      <c r="AI15" s="39"/>
      <c r="AJ15" s="44"/>
      <c r="AK15" s="39"/>
      <c r="AL15" s="37"/>
      <c r="AM15" s="37"/>
    </row>
    <row r="16" spans="1:39">
      <c r="A16" s="19">
        <f t="shared" si="0"/>
        <v>4</v>
      </c>
      <c r="B16" s="22">
        <v>124</v>
      </c>
      <c r="C16" s="22">
        <v>5</v>
      </c>
      <c r="D16" s="22" t="s">
        <v>241</v>
      </c>
      <c r="E16" s="22"/>
      <c r="F16" s="22">
        <v>22352</v>
      </c>
      <c r="G16" s="22" t="s">
        <v>122</v>
      </c>
      <c r="H16" s="22" t="s">
        <v>127</v>
      </c>
      <c r="I16" s="23" t="s">
        <v>128</v>
      </c>
      <c r="J16" s="27">
        <v>2</v>
      </c>
      <c r="K16" s="28">
        <v>2.4</v>
      </c>
      <c r="L16" s="28">
        <v>2.4</v>
      </c>
      <c r="M16" s="52">
        <v>0</v>
      </c>
      <c r="N16" s="52">
        <v>1.4</v>
      </c>
      <c r="O16" s="49">
        <v>0</v>
      </c>
      <c r="P16" s="49">
        <v>1.3</v>
      </c>
      <c r="Q16" s="49" t="s">
        <v>279</v>
      </c>
      <c r="R16" s="49" t="s">
        <v>279</v>
      </c>
      <c r="S16" s="25">
        <v>22.85</v>
      </c>
      <c r="T16" s="26">
        <f>(J16+K16+L16)+IF((VLOOKUP(Q16,MogulsDD!$A$1:$D$1000,4,FALSE)*(M16+O16)/2)&gt;3.75,3.75,VLOOKUP(Q16,MogulsDD!$A$1:$D$1000,4,FALSE)*(M16+O16)/2)+IF((VLOOKUP(R16,MogulsDD!$A$1:$D$1000,4,FALSE)*(N16+P16)/2)&gt;3.75,3.75,VLOOKUP(R16,MogulsDD!$A$1:$D$1000,4,FALSE)*(N16+P16)/2)+IF((18-12*S16/$K$5)&gt;7.5,7.5,IF((18-12*S16/$K$5)&lt;0,0,(18-12*S16/$K$5)))</f>
        <v>12.586019314340897</v>
      </c>
      <c r="U16" s="38"/>
      <c r="V16" s="38"/>
      <c r="W16" s="38"/>
      <c r="X16" s="38"/>
      <c r="Y16" s="39"/>
      <c r="Z16" s="38"/>
      <c r="AA16" s="38"/>
      <c r="AB16" s="38"/>
      <c r="AC16" s="38"/>
      <c r="AD16" s="39"/>
      <c r="AE16" s="38"/>
      <c r="AF16" s="38"/>
      <c r="AG16" s="38"/>
      <c r="AH16" s="38"/>
      <c r="AI16" s="39"/>
      <c r="AJ16" s="44"/>
      <c r="AK16" s="39"/>
      <c r="AL16" s="37"/>
      <c r="AM16" s="37"/>
    </row>
    <row r="17" spans="1:39">
      <c r="A17" s="19">
        <f t="shared" si="0"/>
        <v>5</v>
      </c>
      <c r="B17" s="22">
        <v>23</v>
      </c>
      <c r="C17" s="22">
        <v>11</v>
      </c>
      <c r="D17" s="22" t="s">
        <v>232</v>
      </c>
      <c r="E17" s="22"/>
      <c r="F17" s="22"/>
      <c r="G17" s="22" t="s">
        <v>240</v>
      </c>
      <c r="H17" s="22" t="s">
        <v>247</v>
      </c>
      <c r="I17" s="23"/>
      <c r="J17" s="27">
        <v>2.7</v>
      </c>
      <c r="K17" s="28">
        <v>2.6</v>
      </c>
      <c r="L17" s="28">
        <v>2.6</v>
      </c>
      <c r="M17" s="52">
        <v>0</v>
      </c>
      <c r="N17" s="52">
        <v>1.5</v>
      </c>
      <c r="O17" s="49">
        <v>0</v>
      </c>
      <c r="P17" s="49">
        <v>1.3</v>
      </c>
      <c r="Q17" s="54" t="s">
        <v>279</v>
      </c>
      <c r="R17" s="54" t="s">
        <v>274</v>
      </c>
      <c r="S17" s="25">
        <v>24.85</v>
      </c>
      <c r="T17" s="26">
        <f>(J17+K17+L17)+IF((VLOOKUP(Q17,MogulsDD!$A$1:$D$1000,4,FALSE)*(M17+O17)/2)&gt;3.75,3.75,VLOOKUP(Q17,MogulsDD!$A$1:$D$1000,4,FALSE)*(M17+O17)/2)+IF((VLOOKUP(R17,MogulsDD!$A$1:$D$1000,4,FALSE)*(N17+P17)/2)&gt;3.75,3.75,VLOOKUP(R17,MogulsDD!$A$1:$D$1000,4,FALSE)*(N17+P17)/2)+IF((18-12*S17/$K$5)&gt;7.5,7.5,IF((18-12*S17/$K$5)&lt;0,0,(18-12*S17/$K$5)))</f>
        <v>12.579158860453886</v>
      </c>
      <c r="U17" s="38"/>
      <c r="V17" s="38"/>
      <c r="W17" s="38"/>
      <c r="X17" s="38"/>
      <c r="Y17" s="39"/>
      <c r="Z17" s="38"/>
      <c r="AA17" s="38"/>
      <c r="AB17" s="38"/>
      <c r="AC17" s="38"/>
      <c r="AD17" s="39"/>
      <c r="AE17" s="38"/>
      <c r="AF17" s="38"/>
      <c r="AG17" s="38"/>
      <c r="AH17" s="38"/>
      <c r="AI17" s="39"/>
      <c r="AJ17" s="44"/>
      <c r="AK17" s="39"/>
      <c r="AL17" s="37"/>
      <c r="AM17" s="37"/>
    </row>
    <row r="18" spans="1:39" ht="13.8" thickBot="1">
      <c r="A18" s="19">
        <f t="shared" si="0"/>
        <v>6</v>
      </c>
      <c r="B18" s="14">
        <v>99</v>
      </c>
      <c r="C18" s="22">
        <v>6</v>
      </c>
      <c r="D18" s="14" t="s">
        <v>184</v>
      </c>
      <c r="E18" s="22"/>
      <c r="F18" s="14" t="s">
        <v>185</v>
      </c>
      <c r="G18" s="14" t="s">
        <v>122</v>
      </c>
      <c r="H18" s="14" t="s">
        <v>186</v>
      </c>
      <c r="I18" s="18" t="s">
        <v>187</v>
      </c>
      <c r="J18" s="29">
        <v>1</v>
      </c>
      <c r="K18" s="30">
        <v>1.8</v>
      </c>
      <c r="L18" s="30">
        <v>1.8</v>
      </c>
      <c r="M18" s="53">
        <v>0.4</v>
      </c>
      <c r="N18" s="53">
        <v>0.3</v>
      </c>
      <c r="O18" s="50">
        <v>0.2</v>
      </c>
      <c r="P18" s="50">
        <v>0.4</v>
      </c>
      <c r="Q18" s="49" t="s">
        <v>275</v>
      </c>
      <c r="R18" s="49" t="s">
        <v>279</v>
      </c>
      <c r="S18" s="25">
        <v>20.36</v>
      </c>
      <c r="T18" s="26">
        <f>(J18+K18+L18)+IF((VLOOKUP(Q18,MogulsDD!$A$1:$D$1000,4,FALSE)*(M18+O18)/2)&gt;3.75,3.75,VLOOKUP(Q18,MogulsDD!$A$1:$D$1000,4,FALSE)*(M18+O18)/2)+IF((VLOOKUP(R18,MogulsDD!$A$1:$D$1000,4,FALSE)*(N18+P18)/2)&gt;3.75,3.75,VLOOKUP(R18,MogulsDD!$A$1:$D$1000,4,FALSE)*(N18+P18)/2)+IF((18-12*S18/$K$5)&gt;7.5,7.5,IF((18-12*S18/$K$5)&lt;0,0,(18-12*S18/$K$5)))</f>
        <v>11.350800579430228</v>
      </c>
      <c r="U18" s="38"/>
      <c r="V18" s="38"/>
      <c r="W18" s="38"/>
      <c r="X18" s="38"/>
      <c r="Y18" s="39"/>
      <c r="Z18" s="38"/>
      <c r="AA18" s="38"/>
      <c r="AB18" s="38"/>
      <c r="AC18" s="38"/>
      <c r="AD18" s="39"/>
      <c r="AE18" s="38"/>
      <c r="AF18" s="38"/>
      <c r="AG18" s="38"/>
      <c r="AH18" s="38"/>
      <c r="AI18" s="39"/>
      <c r="AJ18" s="44"/>
      <c r="AK18" s="39"/>
      <c r="AL18" s="37"/>
      <c r="AM18" s="37"/>
    </row>
    <row r="19" spans="1:39">
      <c r="A19" s="19">
        <f t="shared" si="0"/>
        <v>7</v>
      </c>
      <c r="B19" s="22">
        <v>72</v>
      </c>
      <c r="C19" s="22">
        <v>9</v>
      </c>
      <c r="D19" s="22" t="s">
        <v>234</v>
      </c>
      <c r="E19" s="22"/>
      <c r="F19" s="22"/>
      <c r="G19" s="22" t="s">
        <v>240</v>
      </c>
      <c r="H19" s="22" t="s">
        <v>249</v>
      </c>
      <c r="I19" s="23"/>
      <c r="J19" s="24">
        <v>1.5</v>
      </c>
      <c r="K19" s="25">
        <v>1.6</v>
      </c>
      <c r="L19" s="25">
        <v>1.5</v>
      </c>
      <c r="M19" s="51">
        <v>0</v>
      </c>
      <c r="N19" s="51">
        <v>0.3</v>
      </c>
      <c r="O19" s="49">
        <v>0</v>
      </c>
      <c r="P19" s="49">
        <v>0.4</v>
      </c>
      <c r="Q19" s="49" t="s">
        <v>280</v>
      </c>
      <c r="R19" s="49" t="s">
        <v>279</v>
      </c>
      <c r="S19" s="25">
        <v>26.35</v>
      </c>
      <c r="T19" s="26">
        <f>(J19+K19+L19)+IF((VLOOKUP(Q19,MogulsDD!$A$1:$D$1000,4,FALSE)*(M19+O19)/2)&gt;3.75,3.75,VLOOKUP(Q19,MogulsDD!$A$1:$D$1000,4,FALSE)*(M19+O19)/2)+IF((VLOOKUP(R19,MogulsDD!$A$1:$D$1000,4,FALSE)*(N19+P19)/2)&gt;3.75,3.75,VLOOKUP(R19,MogulsDD!$A$1:$D$1000,4,FALSE)*(N19+P19)/2)+IF((18-12*S19/$K$5)&gt;7.5,7.5,IF((18-12*S19/$K$5)&lt;0,0,(18-12*S19/$K$5)))</f>
        <v>7.5980135200386272</v>
      </c>
      <c r="U19" s="38"/>
      <c r="V19" s="38"/>
      <c r="W19" s="38"/>
      <c r="X19" s="38"/>
      <c r="Y19" s="39"/>
      <c r="Z19" s="38"/>
      <c r="AA19" s="38"/>
      <c r="AB19" s="38"/>
      <c r="AC19" s="38"/>
      <c r="AD19" s="39"/>
      <c r="AE19" s="38"/>
      <c r="AF19" s="38"/>
      <c r="AG19" s="38"/>
      <c r="AH19" s="38"/>
      <c r="AI19" s="39"/>
      <c r="AJ19" s="44"/>
      <c r="AK19" s="39"/>
      <c r="AL19" s="37"/>
      <c r="AM19" s="37"/>
    </row>
    <row r="20" spans="1:39">
      <c r="A20" s="19">
        <f t="shared" si="0"/>
        <v>8</v>
      </c>
      <c r="B20" s="22">
        <v>62</v>
      </c>
      <c r="C20" s="22">
        <v>2</v>
      </c>
      <c r="D20" s="22" t="s">
        <v>231</v>
      </c>
      <c r="E20" s="22"/>
      <c r="F20" s="22"/>
      <c r="G20" s="22" t="s">
        <v>240</v>
      </c>
      <c r="H20" s="22" t="s">
        <v>246</v>
      </c>
      <c r="I20" s="23"/>
      <c r="J20" s="27">
        <v>0.9</v>
      </c>
      <c r="K20" s="28">
        <v>1.1000000000000001</v>
      </c>
      <c r="L20" s="28">
        <v>1.1000000000000001</v>
      </c>
      <c r="M20" s="52">
        <v>0.1</v>
      </c>
      <c r="N20" s="52">
        <v>1.3</v>
      </c>
      <c r="O20" s="49">
        <v>0.1</v>
      </c>
      <c r="P20" s="49">
        <v>1.3</v>
      </c>
      <c r="Q20" s="49" t="s">
        <v>279</v>
      </c>
      <c r="R20" s="49" t="s">
        <v>276</v>
      </c>
      <c r="S20" s="25">
        <v>33.229999999999997</v>
      </c>
      <c r="T20" s="26">
        <f>(J20+K20+L20)+IF((VLOOKUP(Q20,MogulsDD!$A$1:$D$1000,4,FALSE)*(M20+O20)/2)&gt;3.75,3.75,VLOOKUP(Q20,MogulsDD!$A$1:$D$1000,4,FALSE)*(M20+O20)/2)+IF((VLOOKUP(R20,MogulsDD!$A$1:$D$1000,4,FALSE)*(N20+P20)/2)&gt;3.75,3.75,VLOOKUP(R20,MogulsDD!$A$1:$D$1000,4,FALSE)*(N20+P20)/2)+IF((18-12*S20/$K$5)&gt;7.5,7.5,IF((18-12*S20/$K$5)&lt;0,0,(18-12*S20/$K$5)))</f>
        <v>4.7360000000000007</v>
      </c>
      <c r="U20" s="38"/>
      <c r="V20" s="38"/>
      <c r="W20" s="38"/>
      <c r="X20" s="38"/>
      <c r="Y20" s="39"/>
      <c r="Z20" s="38"/>
      <c r="AA20" s="38"/>
      <c r="AB20" s="38"/>
      <c r="AC20" s="38"/>
      <c r="AD20" s="39"/>
      <c r="AE20" s="38"/>
      <c r="AF20" s="38"/>
      <c r="AG20" s="38"/>
      <c r="AH20" s="38"/>
      <c r="AI20" s="39"/>
      <c r="AJ20" s="44"/>
      <c r="AK20" s="39"/>
      <c r="AL20" s="37"/>
      <c r="AM20" s="37"/>
    </row>
    <row r="21" spans="1:39" ht="13.8" thickBot="1">
      <c r="A21" s="7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47"/>
      <c r="U21" s="38"/>
      <c r="V21" s="38"/>
      <c r="W21" s="38"/>
      <c r="X21" s="38"/>
      <c r="Y21" s="39"/>
      <c r="Z21" s="38"/>
      <c r="AA21" s="38"/>
      <c r="AB21" s="38"/>
      <c r="AC21" s="38"/>
      <c r="AD21" s="38"/>
      <c r="AE21" s="38"/>
      <c r="AF21" s="38"/>
      <c r="AG21" s="38"/>
      <c r="AH21" s="38"/>
      <c r="AI21" s="39"/>
      <c r="AJ21" s="38"/>
      <c r="AK21" s="39"/>
      <c r="AL21" s="37"/>
      <c r="AM21" s="37"/>
    </row>
    <row r="22" spans="1:39" ht="13.8" thickBot="1">
      <c r="A22" s="12"/>
      <c r="B22" s="11"/>
      <c r="C22" s="9"/>
      <c r="D22" s="9"/>
      <c r="E22" s="31" t="s">
        <v>257</v>
      </c>
      <c r="F22" s="9"/>
      <c r="G22" s="9"/>
      <c r="H22" s="9"/>
      <c r="I22" s="10"/>
      <c r="J22" s="21"/>
      <c r="K22" s="9"/>
      <c r="L22" s="9"/>
      <c r="M22" s="9"/>
      <c r="N22" s="9"/>
      <c r="O22" s="9"/>
      <c r="P22" s="9"/>
      <c r="Q22" s="9"/>
      <c r="R22" s="9"/>
      <c r="S22" s="9"/>
      <c r="T22" s="48"/>
      <c r="U22" s="38"/>
      <c r="V22" s="38"/>
      <c r="W22" s="38"/>
      <c r="X22" s="38"/>
      <c r="Y22" s="38"/>
      <c r="Z22" s="38"/>
      <c r="AA22" s="38"/>
      <c r="AB22" s="38"/>
      <c r="AC22" s="38"/>
      <c r="AD22" s="40"/>
      <c r="AE22" s="38"/>
      <c r="AF22" s="38"/>
      <c r="AG22" s="38"/>
      <c r="AH22" s="38"/>
      <c r="AI22" s="40"/>
      <c r="AJ22" s="38"/>
      <c r="AK22" s="39"/>
      <c r="AL22" s="37"/>
      <c r="AM22" s="37"/>
    </row>
    <row r="23" spans="1:39" ht="13.8" thickBot="1">
      <c r="A23" s="2"/>
      <c r="B23" s="3" t="s">
        <v>1</v>
      </c>
      <c r="C23" s="3" t="s">
        <v>252</v>
      </c>
      <c r="D23" s="3" t="s">
        <v>111</v>
      </c>
      <c r="E23" s="3" t="s">
        <v>238</v>
      </c>
      <c r="F23" s="3" t="s">
        <v>101</v>
      </c>
      <c r="G23" s="3" t="s">
        <v>3</v>
      </c>
      <c r="H23" s="3" t="s">
        <v>4</v>
      </c>
      <c r="I23" s="4" t="s">
        <v>5</v>
      </c>
      <c r="J23" s="2" t="s">
        <v>11</v>
      </c>
      <c r="K23" s="3" t="s">
        <v>12</v>
      </c>
      <c r="L23" s="3" t="s">
        <v>15</v>
      </c>
      <c r="M23" s="3" t="s">
        <v>66</v>
      </c>
      <c r="N23" s="3" t="s">
        <v>65</v>
      </c>
      <c r="O23" s="3" t="s">
        <v>67</v>
      </c>
      <c r="P23" s="3" t="s">
        <v>68</v>
      </c>
      <c r="Q23" s="3" t="s">
        <v>59</v>
      </c>
      <c r="R23" s="3" t="s">
        <v>60</v>
      </c>
      <c r="S23" s="3"/>
      <c r="T23" s="46" t="s">
        <v>14</v>
      </c>
      <c r="U23" s="41"/>
      <c r="V23" s="41"/>
      <c r="W23" s="41"/>
      <c r="X23" s="41"/>
      <c r="Y23" s="42"/>
      <c r="Z23" s="41"/>
      <c r="AA23" s="41"/>
      <c r="AB23" s="41"/>
      <c r="AC23" s="41"/>
      <c r="AD23" s="42"/>
      <c r="AE23" s="41"/>
      <c r="AF23" s="41"/>
      <c r="AG23" s="41"/>
      <c r="AH23" s="41"/>
      <c r="AI23" s="42"/>
      <c r="AJ23" s="43"/>
      <c r="AK23" s="39"/>
      <c r="AL23" s="37"/>
      <c r="AM23" s="37"/>
    </row>
    <row r="24" spans="1:39">
      <c r="A24" s="19">
        <f t="shared" ref="A24:A40" si="1">RANK(T24,$T$24:$T$40,0)</f>
        <v>1</v>
      </c>
      <c r="B24" s="32">
        <v>81</v>
      </c>
      <c r="C24" s="22">
        <v>15</v>
      </c>
      <c r="D24" s="22" t="s">
        <v>205</v>
      </c>
      <c r="E24" s="22">
        <v>2530651</v>
      </c>
      <c r="F24" s="22" t="s">
        <v>206</v>
      </c>
      <c r="G24" s="22" t="s">
        <v>207</v>
      </c>
      <c r="H24" s="22" t="s">
        <v>243</v>
      </c>
      <c r="I24" s="23" t="s">
        <v>126</v>
      </c>
      <c r="J24" s="24">
        <v>4.3</v>
      </c>
      <c r="K24" s="25">
        <v>4.2</v>
      </c>
      <c r="L24" s="25">
        <v>4.0999999999999996</v>
      </c>
      <c r="M24" s="51">
        <v>2.2999999999999998</v>
      </c>
      <c r="N24" s="51">
        <v>2.2000000000000002</v>
      </c>
      <c r="O24" s="49">
        <v>2.4</v>
      </c>
      <c r="P24" s="49">
        <v>2.4</v>
      </c>
      <c r="Q24" s="49" t="s">
        <v>284</v>
      </c>
      <c r="R24" s="49" t="s">
        <v>285</v>
      </c>
      <c r="S24" s="25">
        <v>19.36</v>
      </c>
      <c r="T24" s="26">
        <f>(J24+K24+L24)+IF((VLOOKUP(Q24,MogulsDD!$A$1:$C$1000,3,FALSE)*(M24+O24)/2)&gt;3.75,3.75,VLOOKUP(Q24,MogulsDD!$A$1:$C$1000,3,FALSE)*(M24+O24)/2)+IF((VLOOKUP(R24,MogulsDD!$A$1:$C$1000,3,FALSE)*(N24+P24)/2)&gt;3.75,3.75,VLOOKUP(R24,MogulsDD!$A$1:$C$1000,3,FALSE)*(N24+P24)/2)+IF((18-12*S24/$J$5)&gt;7.5,7.5,IF((18-12*S24/$J$5)&lt;0,0,(18-12*S24/$J$5)))</f>
        <v>22.535961582242457</v>
      </c>
      <c r="U24" s="38"/>
      <c r="V24" s="38"/>
      <c r="W24" s="38"/>
      <c r="X24" s="38"/>
      <c r="Y24" s="39"/>
      <c r="Z24" s="38"/>
      <c r="AA24" s="38"/>
      <c r="AB24" s="38"/>
      <c r="AC24" s="38"/>
      <c r="AD24" s="39"/>
      <c r="AE24" s="38"/>
      <c r="AF24" s="38"/>
      <c r="AG24" s="38"/>
      <c r="AH24" s="38"/>
      <c r="AI24" s="39"/>
      <c r="AJ24" s="44"/>
      <c r="AK24" s="39"/>
      <c r="AL24" s="37"/>
      <c r="AM24" s="37"/>
    </row>
    <row r="25" spans="1:39">
      <c r="A25" s="19">
        <f t="shared" si="1"/>
        <v>2</v>
      </c>
      <c r="B25" s="32">
        <v>44</v>
      </c>
      <c r="C25" s="22">
        <v>9</v>
      </c>
      <c r="D25" s="22" t="s">
        <v>110</v>
      </c>
      <c r="E25" s="22">
        <v>2531950</v>
      </c>
      <c r="F25" s="22" t="s">
        <v>106</v>
      </c>
      <c r="G25" s="22" t="s">
        <v>122</v>
      </c>
      <c r="H25" s="22" t="s">
        <v>102</v>
      </c>
      <c r="I25" s="23" t="s">
        <v>103</v>
      </c>
      <c r="J25" s="27">
        <v>3.4</v>
      </c>
      <c r="K25" s="28">
        <v>3.5</v>
      </c>
      <c r="L25" s="28">
        <v>3.6</v>
      </c>
      <c r="M25" s="52">
        <v>1.8</v>
      </c>
      <c r="N25" s="52">
        <v>2.1</v>
      </c>
      <c r="O25" s="49">
        <v>1.8</v>
      </c>
      <c r="P25" s="49">
        <v>2.2000000000000002</v>
      </c>
      <c r="Q25" s="49" t="s">
        <v>61</v>
      </c>
      <c r="R25" s="49" t="s">
        <v>272</v>
      </c>
      <c r="S25" s="25">
        <v>19.239999999999998</v>
      </c>
      <c r="T25" s="26">
        <f>(J25+K25+L25)+IF((VLOOKUP(Q25,MogulsDD!$A$1:$C$1000,3,FALSE)*(M25+O25)/2)&gt;3.75,3.75,VLOOKUP(Q25,MogulsDD!$A$1:$C$1000,3,FALSE)*(M25+O25)/2)+IF((VLOOKUP(R25,MogulsDD!$A$1:$C$1000,3,FALSE)*(N25+P25)/2)&gt;3.75,3.75,VLOOKUP(R25,MogulsDD!$A$1:$C$1000,3,FALSE)*(N25+P25)/2)+IF((18-12*S25/$J$5)&gt;7.5,7.5,IF((18-12*S25/$J$5)&lt;0,0,(18-12*S25/$J$5)))</f>
        <v>19.614419464997155</v>
      </c>
      <c r="U25" s="38"/>
      <c r="V25" s="38"/>
      <c r="W25" s="38"/>
      <c r="X25" s="38"/>
      <c r="Y25" s="39"/>
      <c r="Z25" s="38"/>
      <c r="AA25" s="38"/>
      <c r="AB25" s="38"/>
      <c r="AC25" s="38"/>
      <c r="AD25" s="39"/>
      <c r="AE25" s="38"/>
      <c r="AF25" s="38"/>
      <c r="AG25" s="38"/>
      <c r="AH25" s="38"/>
      <c r="AI25" s="39"/>
      <c r="AJ25" s="44"/>
      <c r="AK25" s="39"/>
      <c r="AL25" s="37"/>
      <c r="AM25" s="37"/>
    </row>
    <row r="26" spans="1:39">
      <c r="A26" s="19">
        <f t="shared" si="1"/>
        <v>3</v>
      </c>
      <c r="B26" s="32">
        <v>18</v>
      </c>
      <c r="C26" s="22">
        <v>21</v>
      </c>
      <c r="D26" s="22" t="s">
        <v>123</v>
      </c>
      <c r="E26" s="22">
        <v>2531086</v>
      </c>
      <c r="F26" s="22" t="s">
        <v>124</v>
      </c>
      <c r="G26" s="22" t="s">
        <v>122</v>
      </c>
      <c r="H26" s="22" t="s">
        <v>125</v>
      </c>
      <c r="I26" s="23" t="s">
        <v>126</v>
      </c>
      <c r="J26" s="27">
        <v>3.6</v>
      </c>
      <c r="K26" s="28">
        <v>3.9</v>
      </c>
      <c r="L26" s="28">
        <v>3.9</v>
      </c>
      <c r="M26" s="52">
        <v>1.9</v>
      </c>
      <c r="N26" s="52">
        <v>1.3</v>
      </c>
      <c r="O26" s="49">
        <v>1.7</v>
      </c>
      <c r="P26" s="49">
        <v>1.3</v>
      </c>
      <c r="Q26" s="49" t="s">
        <v>276</v>
      </c>
      <c r="R26" s="49" t="s">
        <v>286</v>
      </c>
      <c r="S26" s="25">
        <v>19.88</v>
      </c>
      <c r="T26" s="26">
        <f>(J26+K26+L26)+IF((VLOOKUP(Q26,MogulsDD!$A$1:$C$1000,3,FALSE)*(M26+O26)/2)&gt;3.75,3.75,VLOOKUP(Q26,MogulsDD!$A$1:$C$1000,3,FALSE)*(M26+O26)/2)+IF((VLOOKUP(R26,MogulsDD!$A$1:$C$1000,3,FALSE)*(N26+P26)/2)&gt;3.75,3.75,VLOOKUP(R26,MogulsDD!$A$1:$C$1000,3,FALSE)*(N26+P26)/2)+IF((18-12*S26/$J$5)&gt;7.5,7.5,IF((18-12*S26/$J$5)&lt;0,0,(18-12*S26/$J$5)))</f>
        <v>19.12931075697211</v>
      </c>
      <c r="U26" s="38"/>
      <c r="V26" s="38"/>
      <c r="W26" s="38"/>
      <c r="X26" s="38"/>
      <c r="Y26" s="39"/>
      <c r="Z26" s="38"/>
      <c r="AA26" s="38"/>
      <c r="AB26" s="38"/>
      <c r="AC26" s="38"/>
      <c r="AD26" s="39"/>
      <c r="AE26" s="38"/>
      <c r="AF26" s="38"/>
      <c r="AG26" s="38"/>
      <c r="AH26" s="38"/>
      <c r="AI26" s="39"/>
      <c r="AJ26" s="44"/>
      <c r="AK26" s="39"/>
      <c r="AL26" s="37"/>
      <c r="AM26" s="37"/>
    </row>
    <row r="27" spans="1:39">
      <c r="A27" s="19">
        <f t="shared" si="1"/>
        <v>4</v>
      </c>
      <c r="B27" s="32">
        <v>3</v>
      </c>
      <c r="C27" s="22">
        <v>19</v>
      </c>
      <c r="D27" s="22" t="s">
        <v>156</v>
      </c>
      <c r="E27" s="22">
        <v>2532116</v>
      </c>
      <c r="F27" s="22" t="s">
        <v>157</v>
      </c>
      <c r="G27" s="22" t="s">
        <v>122</v>
      </c>
      <c r="H27" s="99" t="s">
        <v>158</v>
      </c>
      <c r="I27" s="23" t="s">
        <v>128</v>
      </c>
      <c r="J27" s="27">
        <v>3.2</v>
      </c>
      <c r="K27" s="28">
        <v>3.5</v>
      </c>
      <c r="L27" s="28">
        <v>3.3</v>
      </c>
      <c r="M27" s="52">
        <v>1.7</v>
      </c>
      <c r="N27" s="52">
        <v>1.6</v>
      </c>
      <c r="O27" s="49">
        <v>1.6</v>
      </c>
      <c r="P27" s="49">
        <v>1.7</v>
      </c>
      <c r="Q27" s="49" t="s">
        <v>282</v>
      </c>
      <c r="R27" s="49" t="s">
        <v>273</v>
      </c>
      <c r="S27" s="25">
        <v>20.61</v>
      </c>
      <c r="T27" s="26">
        <f>(J27+K27+L27)+IF((VLOOKUP(Q27,MogulsDD!$A$1:$C$1000,3,FALSE)*(M27+O27)/2)&gt;3.75,3.75,VLOOKUP(Q27,MogulsDD!$A$1:$C$1000,3,FALSE)*(M27+O27)/2)+IF((VLOOKUP(R27,MogulsDD!$A$1:$C$1000,3,FALSE)*(N27+P27)/2)&gt;3.75,3.75,VLOOKUP(R27,MogulsDD!$A$1:$C$1000,3,FALSE)*(N27+P27)/2)+IF((18-12*S27/$J$5)&gt;7.5,7.5,IF((18-12*S27/$J$5)&lt;0,0,(18-12*S27/$J$5)))</f>
        <v>16.184233636881046</v>
      </c>
      <c r="U27" s="38"/>
      <c r="V27" s="38"/>
      <c r="W27" s="38"/>
      <c r="X27" s="38"/>
      <c r="Y27" s="39"/>
      <c r="Z27" s="38"/>
      <c r="AA27" s="38"/>
      <c r="AB27" s="38"/>
      <c r="AC27" s="38"/>
      <c r="AD27" s="39"/>
      <c r="AE27" s="38"/>
      <c r="AF27" s="38"/>
      <c r="AG27" s="38"/>
      <c r="AH27" s="38"/>
      <c r="AI27" s="39"/>
      <c r="AJ27" s="44"/>
      <c r="AK27" s="39"/>
      <c r="AL27" s="37"/>
      <c r="AM27" s="37"/>
    </row>
    <row r="28" spans="1:39">
      <c r="A28" s="19">
        <f t="shared" si="1"/>
        <v>5</v>
      </c>
      <c r="B28" s="32">
        <v>25</v>
      </c>
      <c r="C28" s="22">
        <v>11</v>
      </c>
      <c r="D28" s="22" t="s">
        <v>130</v>
      </c>
      <c r="E28" s="22"/>
      <c r="F28" s="22" t="s">
        <v>131</v>
      </c>
      <c r="G28" s="22" t="s">
        <v>122</v>
      </c>
      <c r="H28" s="22" t="s">
        <v>132</v>
      </c>
      <c r="I28" s="23" t="s">
        <v>133</v>
      </c>
      <c r="J28" s="27">
        <v>3.2</v>
      </c>
      <c r="K28" s="28">
        <v>3.5</v>
      </c>
      <c r="L28" s="28">
        <v>3.5</v>
      </c>
      <c r="M28" s="52">
        <v>1.8</v>
      </c>
      <c r="N28" s="52">
        <v>2.1</v>
      </c>
      <c r="O28" s="49">
        <v>1.5</v>
      </c>
      <c r="P28" s="49">
        <v>1.9</v>
      </c>
      <c r="Q28" s="49" t="s">
        <v>276</v>
      </c>
      <c r="R28" s="49" t="s">
        <v>274</v>
      </c>
      <c r="S28" s="25">
        <v>22.54</v>
      </c>
      <c r="T28" s="26">
        <f>(J28+K28+L28)+IF((VLOOKUP(Q28,MogulsDD!$A$1:$C$1000,3,FALSE)*(M28+O28)/2)&gt;3.75,3.75,VLOOKUP(Q28,MogulsDD!$A$1:$C$1000,3,FALSE)*(M28+O28)/2)+IF((VLOOKUP(R28,MogulsDD!$A$1:$C$1000,3,FALSE)*(N28+P28)/2)&gt;3.75,3.75,VLOOKUP(R28,MogulsDD!$A$1:$C$1000,3,FALSE)*(N28+P28)/2)+IF((18-12*S28/$J$5)&gt;7.5,7.5,IF((18-12*S28/$J$5)&lt;0,0,(18-12*S28/$J$5)))</f>
        <v>15.778077689243027</v>
      </c>
      <c r="U28" s="38"/>
      <c r="V28" s="38"/>
      <c r="W28" s="38"/>
      <c r="X28" s="38"/>
      <c r="Y28" s="39"/>
      <c r="Z28" s="38"/>
      <c r="AA28" s="38"/>
      <c r="AB28" s="38"/>
      <c r="AC28" s="38"/>
      <c r="AD28" s="39"/>
      <c r="AE28" s="38"/>
      <c r="AF28" s="38"/>
      <c r="AG28" s="38"/>
      <c r="AH28" s="38"/>
      <c r="AI28" s="39"/>
      <c r="AJ28" s="44"/>
      <c r="AK28" s="39"/>
      <c r="AL28" s="37"/>
      <c r="AM28" s="37"/>
    </row>
    <row r="29" spans="1:39">
      <c r="A29" s="19">
        <f t="shared" si="1"/>
        <v>6</v>
      </c>
      <c r="B29" s="32">
        <v>15</v>
      </c>
      <c r="C29" s="22">
        <v>13</v>
      </c>
      <c r="D29" s="22" t="s">
        <v>237</v>
      </c>
      <c r="E29" s="22"/>
      <c r="F29" s="22"/>
      <c r="G29" s="22" t="s">
        <v>240</v>
      </c>
      <c r="H29" s="22" t="s">
        <v>244</v>
      </c>
      <c r="I29" s="23"/>
      <c r="J29" s="27">
        <v>2.8</v>
      </c>
      <c r="K29" s="28">
        <v>3.3</v>
      </c>
      <c r="L29" s="28">
        <v>3.1</v>
      </c>
      <c r="M29" s="52">
        <v>0</v>
      </c>
      <c r="N29" s="52">
        <v>1.8</v>
      </c>
      <c r="O29" s="49">
        <v>0</v>
      </c>
      <c r="P29" s="49">
        <v>1.6</v>
      </c>
      <c r="Q29" s="49" t="s">
        <v>280</v>
      </c>
      <c r="R29" s="49" t="s">
        <v>274</v>
      </c>
      <c r="S29" s="25">
        <v>20.75</v>
      </c>
      <c r="T29" s="26">
        <f>(J29+K29+L29)+IF((VLOOKUP(Q29,MogulsDD!$A$1:$C$1000,3,FALSE)*(M29+O29)/2)&gt;3.75,3.75,VLOOKUP(Q29,MogulsDD!$A$1:$C$1000,3,FALSE)*(M29+O29)/2)+IF((VLOOKUP(R29,MogulsDD!$A$1:$C$1000,3,FALSE)*(N29+P29)/2)&gt;3.75,3.75,VLOOKUP(R29,MogulsDD!$A$1:$C$1000,3,FALSE)*(N29+P29)/2)+IF((18-12*S29/$J$5)&gt;7.5,7.5,IF((18-12*S29/$J$5)&lt;0,0,(18-12*S29/$J$5)))</f>
        <v>14.082116107000569</v>
      </c>
      <c r="U29" s="38"/>
      <c r="V29" s="38"/>
      <c r="W29" s="38"/>
      <c r="X29" s="38"/>
      <c r="Y29" s="39"/>
      <c r="Z29" s="38"/>
      <c r="AA29" s="38"/>
      <c r="AB29" s="38"/>
      <c r="AC29" s="38"/>
      <c r="AD29" s="39"/>
      <c r="AE29" s="38"/>
      <c r="AF29" s="38"/>
      <c r="AG29" s="38"/>
      <c r="AH29" s="38"/>
      <c r="AI29" s="39"/>
      <c r="AJ29" s="44"/>
      <c r="AK29" s="39"/>
      <c r="AL29" s="37"/>
      <c r="AM29" s="37"/>
    </row>
    <row r="30" spans="1:39">
      <c r="A30" s="19">
        <f t="shared" si="1"/>
        <v>7</v>
      </c>
      <c r="B30" s="32">
        <v>109</v>
      </c>
      <c r="C30" s="22">
        <v>10</v>
      </c>
      <c r="D30" s="22" t="s">
        <v>199</v>
      </c>
      <c r="E30" s="22"/>
      <c r="F30" s="22" t="s">
        <v>200</v>
      </c>
      <c r="G30" s="22" t="s">
        <v>122</v>
      </c>
      <c r="H30" s="22" t="s">
        <v>201</v>
      </c>
      <c r="I30" s="23" t="s">
        <v>202</v>
      </c>
      <c r="J30" s="108">
        <v>2.2000000000000002</v>
      </c>
      <c r="K30" s="109">
        <v>2.5</v>
      </c>
      <c r="L30" s="109">
        <v>2.2000000000000002</v>
      </c>
      <c r="M30" s="110">
        <v>1.5</v>
      </c>
      <c r="N30" s="110">
        <v>1.3</v>
      </c>
      <c r="O30" s="56">
        <v>1.2</v>
      </c>
      <c r="P30" s="56">
        <v>1.3</v>
      </c>
      <c r="Q30" s="49" t="s">
        <v>276</v>
      </c>
      <c r="R30" s="49" t="s">
        <v>28</v>
      </c>
      <c r="S30" s="25">
        <v>21.11</v>
      </c>
      <c r="T30" s="26">
        <f>(J30+K30+L30)+IF((VLOOKUP(Q30,MogulsDD!$A$1:$C$1000,3,FALSE)*(M30+O30)/2)&gt;3.75,3.75,VLOOKUP(Q30,MogulsDD!$A$1:$C$1000,3,FALSE)*(M30+O30)/2)+IF((VLOOKUP(R30,MogulsDD!$A$1:$C$1000,3,FALSE)*(N30+P30)/2)&gt;3.75,3.75,VLOOKUP(R30,MogulsDD!$A$1:$C$1000,3,FALSE)*(N30+P30)/2)+IF((18-12*S30/$J$5)&gt;7.5,7.5,IF((18-12*S30/$J$5)&lt;0,0,(18-12*S30/$J$5)))</f>
        <v>13.368742458736483</v>
      </c>
      <c r="U30" s="38"/>
      <c r="V30" s="38"/>
      <c r="W30" s="38"/>
      <c r="X30" s="38"/>
      <c r="Y30" s="39"/>
      <c r="Z30" s="38"/>
      <c r="AA30" s="38"/>
      <c r="AB30" s="38"/>
      <c r="AC30" s="38"/>
      <c r="AD30" s="39"/>
      <c r="AE30" s="38"/>
      <c r="AF30" s="38"/>
      <c r="AG30" s="38"/>
      <c r="AH30" s="38"/>
      <c r="AI30" s="39"/>
      <c r="AJ30" s="44"/>
      <c r="AK30" s="39"/>
      <c r="AL30" s="37"/>
      <c r="AM30" s="37"/>
    </row>
    <row r="31" spans="1:39">
      <c r="A31" s="19">
        <f t="shared" si="1"/>
        <v>8</v>
      </c>
      <c r="B31" s="32">
        <v>29</v>
      </c>
      <c r="C31" s="22">
        <v>1</v>
      </c>
      <c r="D31" s="22" t="s">
        <v>116</v>
      </c>
      <c r="E31" s="22"/>
      <c r="F31" s="22"/>
      <c r="G31" s="22" t="s">
        <v>122</v>
      </c>
      <c r="H31" s="22" t="s">
        <v>117</v>
      </c>
      <c r="I31" s="23" t="s">
        <v>103</v>
      </c>
      <c r="J31" s="27">
        <v>2.9</v>
      </c>
      <c r="K31" s="28">
        <v>2.7</v>
      </c>
      <c r="L31" s="28">
        <v>3</v>
      </c>
      <c r="M31" s="52">
        <v>0</v>
      </c>
      <c r="N31" s="52">
        <v>1.3</v>
      </c>
      <c r="O31" s="49">
        <v>0</v>
      </c>
      <c r="P31" s="49">
        <v>1.4</v>
      </c>
      <c r="Q31" s="49" t="s">
        <v>280</v>
      </c>
      <c r="R31" s="49" t="s">
        <v>279</v>
      </c>
      <c r="S31" s="25">
        <v>22.44</v>
      </c>
      <c r="T31" s="26">
        <f>(J31+K31+L31)+IF((VLOOKUP(Q31,MogulsDD!$A$1:$C$1000,3,FALSE)*(M31+O31)/2)&gt;3.75,3.75,VLOOKUP(Q31,MogulsDD!$A$1:$C$1000,3,FALSE)*(M31+O31)/2)+IF((VLOOKUP(R31,MogulsDD!$A$1:$C$1000,3,FALSE)*(N31+P31)/2)&gt;3.75,3.75,VLOOKUP(R31,MogulsDD!$A$1:$C$1000,3,FALSE)*(N31+P31)/2)+IF((18-12*S31/$J$5)&gt;7.5,7.5,IF((18-12*S31/$J$5)&lt;0,0,(18-12*S31/$J$5)))</f>
        <v>12.097375924871939</v>
      </c>
      <c r="U31" s="38"/>
      <c r="V31" s="38"/>
      <c r="W31" s="38"/>
      <c r="X31" s="38"/>
      <c r="Y31" s="39"/>
      <c r="Z31" s="38"/>
      <c r="AA31" s="38"/>
      <c r="AB31" s="38"/>
      <c r="AC31" s="38"/>
      <c r="AD31" s="39"/>
      <c r="AE31" s="38"/>
      <c r="AF31" s="38"/>
      <c r="AG31" s="38"/>
      <c r="AH31" s="38"/>
      <c r="AI31" s="39"/>
      <c r="AJ31" s="44"/>
      <c r="AK31" s="39"/>
      <c r="AL31" s="37"/>
      <c r="AM31" s="37"/>
    </row>
    <row r="32" spans="1:39">
      <c r="A32" s="19">
        <f t="shared" si="1"/>
        <v>9</v>
      </c>
      <c r="B32" s="32">
        <v>17</v>
      </c>
      <c r="C32" s="22">
        <v>8</v>
      </c>
      <c r="D32" s="22" t="s">
        <v>166</v>
      </c>
      <c r="E32" s="22"/>
      <c r="F32" s="22" t="s">
        <v>164</v>
      </c>
      <c r="G32" s="22" t="s">
        <v>209</v>
      </c>
      <c r="H32" s="22" t="s">
        <v>167</v>
      </c>
      <c r="I32" s="23" t="s">
        <v>133</v>
      </c>
      <c r="J32" s="27">
        <v>2</v>
      </c>
      <c r="K32" s="28">
        <v>2.6</v>
      </c>
      <c r="L32" s="28">
        <v>2.1</v>
      </c>
      <c r="M32" s="52">
        <v>1.8</v>
      </c>
      <c r="N32" s="52">
        <v>0</v>
      </c>
      <c r="O32" s="49">
        <v>2.1</v>
      </c>
      <c r="P32" s="49">
        <v>0</v>
      </c>
      <c r="Q32" s="49" t="s">
        <v>279</v>
      </c>
      <c r="R32" s="49" t="s">
        <v>296</v>
      </c>
      <c r="S32" s="25">
        <v>20.88</v>
      </c>
      <c r="T32" s="26">
        <f>(J32+K32+L32)+IF((VLOOKUP(Q32,MogulsDD!$A$1:$C$1000,3,FALSE)*(M32+O32)/2)&gt;3.75,3.75,VLOOKUP(Q32,MogulsDD!$A$1:$C$1000,3,FALSE)*(M32+O32)/2)+IF((VLOOKUP(R32,MogulsDD!$A$1:$C$1000,3,FALSE)*(N32+P32)/2)&gt;3.75,3.75,VLOOKUP(R32,MogulsDD!$A$1:$C$1000,3,FALSE)*(N32+P32)/2)+IF((18-12*S32/$J$5)&gt;7.5,7.5,IF((18-12*S32/$J$5)&lt;0,0,(18-12*S32/$J$5)))</f>
        <v>11.628828400682981</v>
      </c>
      <c r="U32" s="38"/>
      <c r="V32" s="38"/>
      <c r="W32" s="38"/>
      <c r="X32" s="38"/>
      <c r="Y32" s="39"/>
      <c r="Z32" s="38"/>
      <c r="AA32" s="38"/>
      <c r="AB32" s="38"/>
      <c r="AC32" s="38"/>
      <c r="AD32" s="39"/>
      <c r="AE32" s="38"/>
      <c r="AF32" s="38"/>
      <c r="AG32" s="38"/>
      <c r="AH32" s="38"/>
      <c r="AI32" s="39"/>
      <c r="AJ32" s="44"/>
      <c r="AK32" s="39"/>
      <c r="AL32" s="37"/>
      <c r="AM32" s="37"/>
    </row>
    <row r="33" spans="1:39">
      <c r="A33" s="19">
        <f t="shared" si="1"/>
        <v>10</v>
      </c>
      <c r="B33" s="32">
        <v>36</v>
      </c>
      <c r="C33" s="22">
        <v>18</v>
      </c>
      <c r="D33" s="22" t="s">
        <v>188</v>
      </c>
      <c r="E33" s="22"/>
      <c r="F33" s="22" t="s">
        <v>189</v>
      </c>
      <c r="G33" s="22" t="s">
        <v>122</v>
      </c>
      <c r="H33" s="22" t="s">
        <v>190</v>
      </c>
      <c r="I33" s="23" t="s">
        <v>121</v>
      </c>
      <c r="J33" s="27">
        <v>1.8</v>
      </c>
      <c r="K33" s="28">
        <v>2.2000000000000002</v>
      </c>
      <c r="L33" s="28">
        <v>1.9</v>
      </c>
      <c r="M33" s="52">
        <v>1</v>
      </c>
      <c r="N33" s="52">
        <v>0.8</v>
      </c>
      <c r="O33" s="49">
        <v>1</v>
      </c>
      <c r="P33" s="49">
        <v>0.9</v>
      </c>
      <c r="Q33" s="49" t="s">
        <v>276</v>
      </c>
      <c r="R33" s="49" t="s">
        <v>286</v>
      </c>
      <c r="S33" s="25">
        <v>22.04</v>
      </c>
      <c r="T33" s="26">
        <f>(J33+K33+L33)+IF((VLOOKUP(Q33,MogulsDD!$A$1:$C$1000,3,FALSE)*(M33+O33)/2)&gt;3.75,3.75,VLOOKUP(Q33,MogulsDD!$A$1:$C$1000,3,FALSE)*(M33+O33)/2)+IF((VLOOKUP(R33,MogulsDD!$A$1:$C$1000,3,FALSE)*(N33+P33)/2)&gt;3.75,3.75,VLOOKUP(R33,MogulsDD!$A$1:$C$1000,3,FALSE)*(N33+P33)/2)+IF((18-12*S33/$J$5)&gt;7.5,7.5,IF((18-12*S33/$J$5)&lt;0,0,(18-12*S33/$J$5)))</f>
        <v>10.823568867387591</v>
      </c>
      <c r="U33" s="38"/>
      <c r="V33" s="38"/>
      <c r="W33" s="38"/>
      <c r="X33" s="38"/>
      <c r="Y33" s="39"/>
      <c r="Z33" s="38"/>
      <c r="AA33" s="38"/>
      <c r="AB33" s="38"/>
      <c r="AC33" s="38"/>
      <c r="AD33" s="39"/>
      <c r="AE33" s="38"/>
      <c r="AF33" s="38"/>
      <c r="AG33" s="38"/>
      <c r="AH33" s="38"/>
      <c r="AI33" s="39"/>
      <c r="AJ33" s="44"/>
      <c r="AK33" s="39"/>
      <c r="AL33" s="37"/>
      <c r="AM33" s="37"/>
    </row>
    <row r="34" spans="1:39" ht="13.8" thickBot="1">
      <c r="A34" s="19">
        <f t="shared" si="1"/>
        <v>11</v>
      </c>
      <c r="B34" s="13">
        <v>43</v>
      </c>
      <c r="C34" s="22">
        <v>7</v>
      </c>
      <c r="D34" s="14" t="s">
        <v>163</v>
      </c>
      <c r="E34" s="22"/>
      <c r="F34" s="14" t="s">
        <v>164</v>
      </c>
      <c r="G34" s="14" t="s">
        <v>209</v>
      </c>
      <c r="H34" s="14" t="s">
        <v>165</v>
      </c>
      <c r="I34" s="18" t="s">
        <v>103</v>
      </c>
      <c r="J34" s="29">
        <v>1.9</v>
      </c>
      <c r="K34" s="30">
        <v>2.4</v>
      </c>
      <c r="L34" s="30">
        <v>2.1</v>
      </c>
      <c r="M34" s="53">
        <v>1.6</v>
      </c>
      <c r="N34" s="53">
        <v>0</v>
      </c>
      <c r="O34" s="50">
        <v>1.3</v>
      </c>
      <c r="P34" s="50">
        <v>0</v>
      </c>
      <c r="Q34" s="49" t="s">
        <v>279</v>
      </c>
      <c r="R34" s="49" t="s">
        <v>282</v>
      </c>
      <c r="S34" s="25">
        <v>21.79</v>
      </c>
      <c r="T34" s="26">
        <f>(J34+K34+L34)+IF((VLOOKUP(Q34,MogulsDD!$A$1:$C$1000,3,FALSE)*(M34+O34)/2)&gt;3.75,3.75,VLOOKUP(Q34,MogulsDD!$A$1:$C$1000,3,FALSE)*(M34+O34)/2)+IF((VLOOKUP(R34,MogulsDD!$A$1:$C$1000,3,FALSE)*(N34+P34)/2)&gt;3.75,3.75,VLOOKUP(R34,MogulsDD!$A$1:$C$1000,3,FALSE)*(N34+P34)/2)+IF((18-12*S34/$J$5)&gt;7.5,7.5,IF((18-12*S34/$J$5)&lt;0,0,(18-12*S34/$J$5)))</f>
        <v>10.402314456459873</v>
      </c>
      <c r="U34" s="38"/>
      <c r="V34" s="38"/>
      <c r="W34" s="38"/>
      <c r="X34" s="38"/>
      <c r="Y34" s="39"/>
      <c r="Z34" s="38"/>
      <c r="AA34" s="38"/>
      <c r="AB34" s="38"/>
      <c r="AC34" s="38"/>
      <c r="AD34" s="39"/>
      <c r="AE34" s="38"/>
      <c r="AF34" s="38"/>
      <c r="AG34" s="38"/>
      <c r="AH34" s="38"/>
      <c r="AI34" s="39"/>
      <c r="AJ34" s="44"/>
      <c r="AK34" s="39"/>
      <c r="AL34" s="37"/>
      <c r="AM34" s="37"/>
    </row>
    <row r="35" spans="1:39">
      <c r="A35" s="19">
        <f t="shared" si="1"/>
        <v>12</v>
      </c>
      <c r="B35" s="15">
        <v>14</v>
      </c>
      <c r="C35" s="22">
        <v>23</v>
      </c>
      <c r="D35" s="16" t="s">
        <v>269</v>
      </c>
      <c r="E35" s="22"/>
      <c r="F35" s="16"/>
      <c r="G35" s="16" t="s">
        <v>122</v>
      </c>
      <c r="H35" s="16" t="s">
        <v>268</v>
      </c>
      <c r="I35" s="17"/>
      <c r="J35" s="107">
        <v>2.2999999999999998</v>
      </c>
      <c r="K35" s="25">
        <v>2.5</v>
      </c>
      <c r="L35" s="25">
        <v>1.8</v>
      </c>
      <c r="M35" s="51">
        <v>0.2</v>
      </c>
      <c r="N35" s="51">
        <v>0</v>
      </c>
      <c r="O35" s="49">
        <v>0.2</v>
      </c>
      <c r="P35" s="49">
        <v>0</v>
      </c>
      <c r="Q35" s="49" t="s">
        <v>282</v>
      </c>
      <c r="R35" s="49" t="s">
        <v>63</v>
      </c>
      <c r="S35" s="25">
        <v>23.87</v>
      </c>
      <c r="T35" s="26">
        <f>(J35+K35+L35)+IF((VLOOKUP(Q35,MogulsDD!$A$1:$C$1000,3,FALSE)*(M35+O35)/2)&gt;3.75,3.75,VLOOKUP(Q35,MogulsDD!$A$1:$C$1000,3,FALSE)*(M35+O35)/2)+IF((VLOOKUP(R35,MogulsDD!$A$1:$C$1000,3,FALSE)*(N35+P35)/2)&gt;3.75,3.75,VLOOKUP(R35,MogulsDD!$A$1:$C$1000,3,FALSE)*(N35+P35)/2)+IF((18-12*S35/$J$5)&gt;7.5,7.5,IF((18-12*S35/$J$5)&lt;0,0,(18-12*S35/$J$5)))</f>
        <v>8.4212111553784865</v>
      </c>
      <c r="U35" s="38"/>
      <c r="V35" s="38"/>
      <c r="W35" s="38"/>
      <c r="X35" s="38"/>
      <c r="Y35" s="39"/>
      <c r="Z35" s="38"/>
      <c r="AA35" s="38"/>
      <c r="AB35" s="38"/>
      <c r="AC35" s="38"/>
      <c r="AD35" s="39"/>
      <c r="AE35" s="38"/>
      <c r="AF35" s="38"/>
      <c r="AG35" s="38"/>
      <c r="AH35" s="38"/>
      <c r="AI35" s="39"/>
      <c r="AJ35" s="44"/>
      <c r="AK35" s="39"/>
      <c r="AL35" s="37"/>
      <c r="AM35" s="37"/>
    </row>
    <row r="36" spans="1:39">
      <c r="A36" s="19">
        <f t="shared" si="1"/>
        <v>13</v>
      </c>
      <c r="B36" s="32">
        <v>104</v>
      </c>
      <c r="C36" s="22">
        <v>3</v>
      </c>
      <c r="D36" s="22" t="s">
        <v>112</v>
      </c>
      <c r="E36" s="22">
        <v>2530279</v>
      </c>
      <c r="F36" s="22" t="s">
        <v>113</v>
      </c>
      <c r="G36" s="22" t="s">
        <v>122</v>
      </c>
      <c r="H36" s="22" t="s">
        <v>114</v>
      </c>
      <c r="I36" s="23" t="s">
        <v>115</v>
      </c>
      <c r="J36" s="35">
        <v>1.3</v>
      </c>
      <c r="K36" s="28">
        <v>1.6</v>
      </c>
      <c r="L36" s="28">
        <v>1</v>
      </c>
      <c r="M36" s="52">
        <v>1.4</v>
      </c>
      <c r="N36" s="52">
        <v>0.1</v>
      </c>
      <c r="O36" s="49">
        <v>1.8</v>
      </c>
      <c r="P36" s="49">
        <v>0.1</v>
      </c>
      <c r="Q36" s="49" t="s">
        <v>61</v>
      </c>
      <c r="R36" s="49" t="s">
        <v>286</v>
      </c>
      <c r="S36" s="25">
        <v>22.77</v>
      </c>
      <c r="T36" s="26">
        <f>(J36+K36+L36)+IF((VLOOKUP(Q36,MogulsDD!$A$1:$C$1000,3,FALSE)*(M36+O36)/2)&gt;3.75,3.75,VLOOKUP(Q36,MogulsDD!$A$1:$C$1000,3,FALSE)*(M36+O36)/2)+IF((VLOOKUP(R36,MogulsDD!$A$1:$C$1000,3,FALSE)*(N36+P36)/2)&gt;3.75,3.75,VLOOKUP(R36,MogulsDD!$A$1:$C$1000,3,FALSE)*(N36+P36)/2)+IF((18-12*S36/$J$5)&gt;7.5,7.5,IF((18-12*S36/$J$5)&lt;0,0,(18-12*S36/$J$5)))</f>
        <v>8.1374917472965276</v>
      </c>
      <c r="U36" s="38"/>
      <c r="V36" s="38"/>
      <c r="W36" s="38"/>
      <c r="X36" s="38"/>
      <c r="Y36" s="39"/>
      <c r="Z36" s="38"/>
      <c r="AA36" s="38"/>
      <c r="AB36" s="38"/>
      <c r="AC36" s="38"/>
      <c r="AD36" s="39"/>
      <c r="AE36" s="38"/>
      <c r="AF36" s="38"/>
      <c r="AG36" s="38"/>
      <c r="AH36" s="38"/>
      <c r="AI36" s="39"/>
      <c r="AJ36" s="44"/>
      <c r="AK36" s="39"/>
      <c r="AL36" s="37"/>
      <c r="AM36" s="37"/>
    </row>
    <row r="37" spans="1:39">
      <c r="A37" s="19">
        <f t="shared" si="1"/>
        <v>14</v>
      </c>
      <c r="B37" s="32">
        <v>84</v>
      </c>
      <c r="C37" s="22">
        <v>5</v>
      </c>
      <c r="D37" s="22" t="s">
        <v>194</v>
      </c>
      <c r="E37" s="22"/>
      <c r="F37" s="22" t="s">
        <v>192</v>
      </c>
      <c r="G37" s="22" t="s">
        <v>122</v>
      </c>
      <c r="H37" s="22" t="s">
        <v>195</v>
      </c>
      <c r="I37" s="23" t="s">
        <v>196</v>
      </c>
      <c r="J37" s="35">
        <v>1.1000000000000001</v>
      </c>
      <c r="K37" s="28">
        <v>1.1000000000000001</v>
      </c>
      <c r="L37" s="28">
        <v>0.8</v>
      </c>
      <c r="M37" s="52">
        <v>0.8</v>
      </c>
      <c r="N37" s="52">
        <v>1.3</v>
      </c>
      <c r="O37" s="49">
        <v>0.5</v>
      </c>
      <c r="P37" s="49">
        <v>1.2</v>
      </c>
      <c r="Q37" s="49" t="s">
        <v>273</v>
      </c>
      <c r="R37" s="49" t="s">
        <v>279</v>
      </c>
      <c r="S37" s="25">
        <v>24.58</v>
      </c>
      <c r="T37" s="26">
        <f>(J37+K37+L37)+IF((VLOOKUP(Q37,MogulsDD!$A$1:$C$1000,3,FALSE)*(M37+O37)/2)&gt;3.75,3.75,VLOOKUP(Q37,MogulsDD!$A$1:$C$1000,3,FALSE)*(M37+O37)/2)+IF((VLOOKUP(R37,MogulsDD!$A$1:$C$1000,3,FALSE)*(N37+P37)/2)&gt;3.75,3.75,VLOOKUP(R37,MogulsDD!$A$1:$C$1000,3,FALSE)*(N37+P37)/2)+IF((18-12*S37/$J$5)&gt;7.5,7.5,IF((18-12*S37/$J$5)&lt;0,0,(18-12*S37/$J$5)))</f>
        <v>5.462293682413204</v>
      </c>
      <c r="U37" s="38"/>
      <c r="V37" s="38"/>
      <c r="W37" s="38"/>
      <c r="X37" s="38"/>
      <c r="Y37" s="39"/>
      <c r="Z37" s="38"/>
      <c r="AA37" s="38"/>
      <c r="AB37" s="38"/>
      <c r="AC37" s="38"/>
      <c r="AD37" s="39"/>
      <c r="AE37" s="38"/>
      <c r="AF37" s="38"/>
      <c r="AG37" s="38"/>
      <c r="AH37" s="38"/>
      <c r="AI37" s="39"/>
      <c r="AJ37" s="44"/>
      <c r="AK37" s="39"/>
      <c r="AL37" s="37"/>
      <c r="AM37" s="37"/>
    </row>
    <row r="38" spans="1:39">
      <c r="A38" s="19">
        <f t="shared" si="1"/>
        <v>15</v>
      </c>
      <c r="B38" s="32">
        <v>20</v>
      </c>
      <c r="C38" s="22">
        <v>22</v>
      </c>
      <c r="D38" s="22" t="s">
        <v>107</v>
      </c>
      <c r="E38" s="22"/>
      <c r="F38" s="22" t="s">
        <v>108</v>
      </c>
      <c r="G38" s="22" t="s">
        <v>122</v>
      </c>
      <c r="H38" s="22" t="s">
        <v>109</v>
      </c>
      <c r="I38" s="23" t="s">
        <v>103</v>
      </c>
      <c r="J38" s="35">
        <v>1.2</v>
      </c>
      <c r="K38" s="28">
        <v>1.3</v>
      </c>
      <c r="L38" s="28">
        <v>1.3</v>
      </c>
      <c r="M38" s="52">
        <v>0.3</v>
      </c>
      <c r="N38" s="52">
        <v>0.2</v>
      </c>
      <c r="O38" s="49">
        <v>0.5</v>
      </c>
      <c r="P38" s="49">
        <v>0.2</v>
      </c>
      <c r="Q38" s="49" t="s">
        <v>282</v>
      </c>
      <c r="R38" s="49" t="s">
        <v>275</v>
      </c>
      <c r="S38" s="25">
        <v>26.28</v>
      </c>
      <c r="T38" s="26">
        <f>(J38+K38+L38)+IF((VLOOKUP(Q38,MogulsDD!$A$1:$C$1000,3,FALSE)*(M38+O38)/2)&gt;3.75,3.75,VLOOKUP(Q38,MogulsDD!$A$1:$C$1000,3,FALSE)*(M38+O38)/2)+IF((VLOOKUP(R38,MogulsDD!$A$1:$C$1000,3,FALSE)*(N38+P38)/2)&gt;3.75,3.75,VLOOKUP(R38,MogulsDD!$A$1:$C$1000,3,FALSE)*(N38+P38)/2)+IF((18-12*S38/$J$5)&gt;7.5,7.5,IF((18-12*S38/$J$5)&lt;0,0,(18-12*S38/$J$5)))</f>
        <v>4.2572236767216838</v>
      </c>
      <c r="U38" s="38"/>
      <c r="V38" s="38"/>
      <c r="W38" s="38"/>
      <c r="X38" s="38"/>
      <c r="Y38" s="39"/>
      <c r="Z38" s="38"/>
      <c r="AA38" s="38"/>
      <c r="AB38" s="38"/>
      <c r="AC38" s="38"/>
      <c r="AD38" s="39"/>
      <c r="AE38" s="38"/>
      <c r="AF38" s="38"/>
      <c r="AG38" s="38"/>
      <c r="AH38" s="38"/>
      <c r="AI38" s="39"/>
      <c r="AJ38" s="44"/>
      <c r="AK38" s="39"/>
      <c r="AL38" s="37"/>
      <c r="AM38" s="37"/>
    </row>
    <row r="39" spans="1:39">
      <c r="A39" s="19">
        <f t="shared" si="1"/>
        <v>16</v>
      </c>
      <c r="B39" s="32">
        <v>2</v>
      </c>
      <c r="C39" s="22">
        <v>12</v>
      </c>
      <c r="D39" s="22" t="s">
        <v>191</v>
      </c>
      <c r="E39" s="22"/>
      <c r="F39" s="22" t="s">
        <v>192</v>
      </c>
      <c r="G39" s="22" t="s">
        <v>122</v>
      </c>
      <c r="H39" s="22" t="s">
        <v>193</v>
      </c>
      <c r="I39" s="23" t="s">
        <v>137</v>
      </c>
      <c r="J39" s="35">
        <v>0.1</v>
      </c>
      <c r="K39" s="28">
        <v>0.1</v>
      </c>
      <c r="L39" s="28">
        <v>0.1</v>
      </c>
      <c r="M39" s="52">
        <v>1.3</v>
      </c>
      <c r="N39" s="52">
        <v>0.8</v>
      </c>
      <c r="O39" s="49">
        <v>1.1000000000000001</v>
      </c>
      <c r="P39" s="49">
        <v>1</v>
      </c>
      <c r="Q39" s="49" t="s">
        <v>279</v>
      </c>
      <c r="R39" s="49" t="s">
        <v>273</v>
      </c>
      <c r="S39" s="25">
        <v>31.42</v>
      </c>
      <c r="T39" s="26">
        <f>(J39+K39+L39)+IF((VLOOKUP(Q39,MogulsDD!$A$1:$C$1000,3,FALSE)*(M39+O39)/2)&gt;3.75,3.75,VLOOKUP(Q39,MogulsDD!$A$1:$C$1000,3,FALSE)*(M39+O39)/2)+IF((VLOOKUP(R39,MogulsDD!$A$1:$C$1000,3,FALSE)*(N39+P39)/2)&gt;3.75,3.75,VLOOKUP(R39,MogulsDD!$A$1:$C$1000,3,FALSE)*(N39+P39)/2)+IF((18-12*S39/$J$5)&gt;7.5,7.5,IF((18-12*S39/$J$5)&lt;0,0,(18-12*S39/$J$5)))</f>
        <v>1.7070000000000001</v>
      </c>
      <c r="U39" s="38"/>
      <c r="V39" s="38"/>
      <c r="W39" s="38"/>
      <c r="X39" s="38"/>
      <c r="Y39" s="39"/>
      <c r="Z39" s="38"/>
      <c r="AA39" s="38"/>
      <c r="AB39" s="38"/>
      <c r="AC39" s="38"/>
      <c r="AD39" s="39"/>
      <c r="AE39" s="38"/>
      <c r="AF39" s="38"/>
      <c r="AG39" s="38"/>
      <c r="AH39" s="38"/>
      <c r="AI39" s="39"/>
      <c r="AJ39" s="44"/>
      <c r="AK39" s="39"/>
      <c r="AL39" s="37"/>
      <c r="AM39" s="37"/>
    </row>
    <row r="40" spans="1:39">
      <c r="A40" s="19">
        <f t="shared" si="1"/>
        <v>17</v>
      </c>
      <c r="B40" s="32"/>
      <c r="C40" s="22"/>
      <c r="D40" s="22"/>
      <c r="E40" s="22"/>
      <c r="F40" s="22"/>
      <c r="G40" s="22"/>
      <c r="H40" s="22"/>
      <c r="I40" s="23"/>
      <c r="J40" s="35"/>
      <c r="K40" s="28"/>
      <c r="L40" s="28"/>
      <c r="M40" s="52"/>
      <c r="N40" s="52"/>
      <c r="O40" s="49"/>
      <c r="P40" s="49"/>
      <c r="Q40" s="49" t="s">
        <v>63</v>
      </c>
      <c r="R40" s="49" t="s">
        <v>63</v>
      </c>
      <c r="S40" s="25">
        <v>9999</v>
      </c>
      <c r="T40" s="26">
        <f>(J40+K40+L40)+IF((VLOOKUP(Q40,MogulsDD!$A$1:$C$1000,3,FALSE)*(M40+O40)/2)&gt;3.75,3.75,VLOOKUP(Q40,MogulsDD!$A$1:$C$1000,3,FALSE)*(M40+O40)/2)+IF((VLOOKUP(R40,MogulsDD!$A$1:$C$1000,3,FALSE)*(N40+P40)/2)&gt;3.75,3.75,VLOOKUP(R40,MogulsDD!$A$1:$C$1000,3,FALSE)*(N40+P40)/2)+IF((18-12*S40/$J$5)&gt;7.5,7.5,IF((18-12*S40/$J$5)&lt;0,0,(18-12*S40/$J$5)))</f>
        <v>0</v>
      </c>
      <c r="U40" s="38"/>
      <c r="V40" s="38"/>
      <c r="W40" s="38"/>
      <c r="X40" s="38"/>
      <c r="Y40" s="39"/>
      <c r="Z40" s="38"/>
      <c r="AA40" s="38"/>
      <c r="AB40" s="38"/>
      <c r="AC40" s="38"/>
      <c r="AD40" s="39"/>
      <c r="AE40" s="38"/>
      <c r="AF40" s="38"/>
      <c r="AG40" s="38"/>
      <c r="AH40" s="38"/>
      <c r="AI40" s="39"/>
      <c r="AJ40" s="44"/>
      <c r="AK40" s="39"/>
      <c r="AL40" s="37"/>
      <c r="AM40" s="37"/>
    </row>
    <row r="41" spans="1:39"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7"/>
      <c r="AM41" s="37"/>
    </row>
    <row r="42" spans="1:39"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7"/>
      <c r="AM42" s="37"/>
    </row>
    <row r="43" spans="1:39"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7"/>
      <c r="AM43" s="37"/>
    </row>
    <row r="44" spans="1:39"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7"/>
      <c r="AM44" s="37"/>
    </row>
    <row r="45" spans="1:39"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7"/>
      <c r="AM45" s="37"/>
    </row>
    <row r="46" spans="1:39"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7"/>
      <c r="AM46" s="37"/>
    </row>
    <row r="47" spans="1:39"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7"/>
      <c r="AM47" s="37"/>
    </row>
    <row r="48" spans="1:39"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7"/>
      <c r="AM48" s="37"/>
    </row>
    <row r="49" spans="21:39"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7"/>
      <c r="AM49" s="37"/>
    </row>
    <row r="50" spans="21:39"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7"/>
      <c r="AM50" s="37"/>
    </row>
    <row r="51" spans="21:39"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7"/>
      <c r="AM51" s="37"/>
    </row>
    <row r="52" spans="21:39"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7"/>
      <c r="AM52" s="37"/>
    </row>
    <row r="53" spans="21:39"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7"/>
      <c r="AM53" s="37"/>
    </row>
    <row r="54" spans="21:39"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7"/>
      <c r="AM54" s="37"/>
    </row>
    <row r="55" spans="21:39"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7"/>
      <c r="AM55" s="37"/>
    </row>
    <row r="56" spans="21:39"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7"/>
      <c r="AM56" s="37"/>
    </row>
    <row r="57" spans="21:39"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7"/>
      <c r="AM57" s="37"/>
    </row>
    <row r="58" spans="21:39"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7"/>
      <c r="AM58" s="37"/>
    </row>
    <row r="59" spans="21:39"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7"/>
      <c r="AM59" s="37"/>
    </row>
    <row r="60" spans="21:39"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7"/>
      <c r="AM60" s="37"/>
    </row>
    <row r="61" spans="21:39"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</row>
    <row r="62" spans="21:39"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</row>
    <row r="63" spans="21:39"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</row>
    <row r="64" spans="21:39"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</row>
    <row r="65" spans="21:39"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</row>
    <row r="66" spans="21:39"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</row>
    <row r="67" spans="21:39"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</row>
    <row r="68" spans="21:39"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</row>
    <row r="69" spans="21:39"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</row>
    <row r="70" spans="21:39"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</row>
    <row r="71" spans="21:39"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</row>
    <row r="72" spans="21:39"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</row>
    <row r="73" spans="21:39"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</row>
    <row r="74" spans="21:39"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</row>
    <row r="75" spans="21:39"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</row>
    <row r="76" spans="21:39"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</row>
    <row r="77" spans="21:39"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</row>
    <row r="78" spans="21:39"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</row>
    <row r="79" spans="21:39"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</row>
    <row r="80" spans="21:39"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</row>
    <row r="81" spans="21:39"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</row>
    <row r="82" spans="21:39"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</row>
  </sheetData>
  <sortState ref="B24:T39">
    <sortCondition descending="1" ref="T24:T39"/>
  </sortState>
  <mergeCells count="12">
    <mergeCell ref="A7:B7"/>
    <mergeCell ref="C7:F7"/>
    <mergeCell ref="A8:B8"/>
    <mergeCell ref="C8:F8"/>
    <mergeCell ref="A9:B9"/>
    <mergeCell ref="C9:F9"/>
    <mergeCell ref="A1:I1"/>
    <mergeCell ref="A2:I2"/>
    <mergeCell ref="A5:B5"/>
    <mergeCell ref="C5:F5"/>
    <mergeCell ref="A6:B6"/>
    <mergeCell ref="C6:F6"/>
  </mergeCells>
  <hyperlinks>
    <hyperlink ref="J2" r:id="rId1" display="http://data.fis-ski.com/dynamic/event-details.html?event_id=36203&amp;cal_suchsector=FS"/>
    <hyperlink ref="L2" r:id="rId2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81"/>
  <sheetViews>
    <sheetView workbookViewId="0">
      <selection activeCell="J5" sqref="J5"/>
    </sheetView>
  </sheetViews>
  <sheetFormatPr defaultColWidth="11.44140625" defaultRowHeight="13.2"/>
  <cols>
    <col min="2" max="2" width="8.109375" customWidth="1"/>
    <col min="3" max="3" width="17.44140625" bestFit="1" customWidth="1"/>
    <col min="4" max="4" width="22" customWidth="1"/>
    <col min="5" max="5" width="18.44140625" customWidth="1"/>
    <col min="6" max="6" width="11.109375" customWidth="1"/>
    <col min="8" max="8" width="16.6640625" bestFit="1" customWidth="1"/>
    <col min="9" max="9" width="16.5546875" bestFit="1" customWidth="1"/>
  </cols>
  <sheetData>
    <row r="1" spans="1:39" ht="24.6">
      <c r="A1" s="159"/>
      <c r="B1" s="159"/>
      <c r="C1" s="159"/>
      <c r="D1" s="159"/>
      <c r="E1" s="159"/>
      <c r="F1" s="159"/>
      <c r="G1" s="159"/>
      <c r="H1" s="159"/>
      <c r="I1" s="15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9" ht="17.399999999999999">
      <c r="A2" s="160" t="s">
        <v>227</v>
      </c>
      <c r="B2" s="160"/>
      <c r="C2" s="160"/>
      <c r="D2" s="160"/>
      <c r="E2" s="160"/>
      <c r="F2" s="160"/>
      <c r="G2" s="160"/>
      <c r="H2" s="160"/>
      <c r="I2" s="160"/>
      <c r="J2" s="95" t="s">
        <v>198</v>
      </c>
      <c r="K2" s="1"/>
      <c r="L2" s="95" t="s">
        <v>197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9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9" ht="13.8" thickBot="1">
      <c r="A4" s="7"/>
      <c r="B4" s="1"/>
      <c r="C4" s="1"/>
      <c r="D4" s="1"/>
      <c r="E4" s="1"/>
      <c r="F4" s="1"/>
      <c r="G4" s="1"/>
      <c r="H4" s="1"/>
      <c r="I4" s="1"/>
      <c r="J4" s="1" t="s">
        <v>152</v>
      </c>
      <c r="K4" s="1" t="s">
        <v>151</v>
      </c>
      <c r="L4" s="1"/>
      <c r="M4" s="1" t="s">
        <v>11</v>
      </c>
      <c r="N4" s="1" t="s">
        <v>219</v>
      </c>
      <c r="O4" s="1"/>
      <c r="P4" s="1" t="s">
        <v>216</v>
      </c>
      <c r="Q4" s="1" t="s">
        <v>224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9">
      <c r="A5" s="161" t="s">
        <v>6</v>
      </c>
      <c r="B5" s="162"/>
      <c r="C5" s="163" t="s">
        <v>255</v>
      </c>
      <c r="D5" s="164"/>
      <c r="E5" s="164"/>
      <c r="F5" s="165"/>
      <c r="G5" s="1"/>
      <c r="H5" s="1"/>
      <c r="I5" s="36" t="s">
        <v>69</v>
      </c>
      <c r="J5" s="1">
        <v>17.57</v>
      </c>
      <c r="K5" s="1">
        <v>20.71</v>
      </c>
      <c r="L5" s="1"/>
      <c r="M5" s="1" t="s">
        <v>12</v>
      </c>
      <c r="N5" s="1" t="s">
        <v>220</v>
      </c>
      <c r="O5" s="1"/>
      <c r="P5" s="1" t="s">
        <v>217</v>
      </c>
      <c r="Q5" s="1" t="s">
        <v>222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9">
      <c r="A6" s="149" t="s">
        <v>7</v>
      </c>
      <c r="B6" s="150"/>
      <c r="C6" s="151" t="s">
        <v>230</v>
      </c>
      <c r="D6" s="152"/>
      <c r="E6" s="152"/>
      <c r="F6" s="153"/>
      <c r="G6" s="1"/>
      <c r="H6" s="1"/>
      <c r="I6" s="1"/>
      <c r="J6" s="1"/>
      <c r="K6" s="1"/>
      <c r="L6" s="1"/>
      <c r="M6" s="1" t="s">
        <v>15</v>
      </c>
      <c r="N6" s="1" t="s">
        <v>221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9">
      <c r="A7" s="149" t="s">
        <v>8</v>
      </c>
      <c r="B7" s="150"/>
      <c r="C7" s="151" t="s">
        <v>242</v>
      </c>
      <c r="D7" s="152"/>
      <c r="E7" s="152"/>
      <c r="F7" s="153"/>
      <c r="G7" s="1"/>
      <c r="H7" s="1"/>
      <c r="I7" s="1" t="s">
        <v>254</v>
      </c>
      <c r="J7" s="1"/>
      <c r="K7" s="1"/>
      <c r="L7" s="1"/>
      <c r="M7" s="1" t="s">
        <v>214</v>
      </c>
      <c r="N7" s="1" t="s">
        <v>222</v>
      </c>
      <c r="O7" s="1"/>
      <c r="P7" s="1" t="s">
        <v>225</v>
      </c>
      <c r="Q7" s="1" t="s">
        <v>226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9">
      <c r="A8" s="149" t="s">
        <v>9</v>
      </c>
      <c r="B8" s="150"/>
      <c r="C8" s="151" t="s">
        <v>104</v>
      </c>
      <c r="D8" s="152"/>
      <c r="E8" s="152"/>
      <c r="F8" s="153"/>
      <c r="G8" s="1"/>
      <c r="H8" s="1"/>
      <c r="I8" s="1"/>
      <c r="J8" s="1"/>
      <c r="K8" s="1"/>
      <c r="L8" s="1"/>
      <c r="M8" s="1" t="s">
        <v>215</v>
      </c>
      <c r="N8" s="1" t="s">
        <v>223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9" ht="13.8" thickBot="1">
      <c r="A9" s="154" t="s">
        <v>10</v>
      </c>
      <c r="B9" s="155"/>
      <c r="C9" s="156" t="s">
        <v>105</v>
      </c>
      <c r="D9" s="157"/>
      <c r="E9" s="157"/>
      <c r="F9" s="15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37"/>
      <c r="AL9" s="37"/>
      <c r="AM9" s="37"/>
    </row>
    <row r="10" spans="1:39" ht="13.8" thickBot="1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9"/>
      <c r="AL10" s="37"/>
      <c r="AM10" s="37"/>
    </row>
    <row r="11" spans="1:39" ht="13.8" thickBot="1">
      <c r="A11" s="8"/>
      <c r="B11" s="5"/>
      <c r="C11" s="5"/>
      <c r="D11" s="5"/>
      <c r="E11" s="20" t="s">
        <v>256</v>
      </c>
      <c r="F11" s="5"/>
      <c r="G11" s="5"/>
      <c r="H11" s="5"/>
      <c r="I11" s="6"/>
      <c r="J11" s="21"/>
      <c r="K11" s="9"/>
      <c r="L11" s="9"/>
      <c r="M11" s="9"/>
      <c r="N11" s="9"/>
      <c r="O11" s="9"/>
      <c r="P11" s="9"/>
      <c r="Q11" s="9"/>
      <c r="R11" s="9"/>
      <c r="S11" s="9"/>
      <c r="T11" s="45"/>
      <c r="U11" s="38"/>
      <c r="V11" s="38"/>
      <c r="W11" s="38"/>
      <c r="X11" s="38"/>
      <c r="Y11" s="38"/>
      <c r="Z11" s="38"/>
      <c r="AA11" s="38"/>
      <c r="AB11" s="38"/>
      <c r="AC11" s="38"/>
      <c r="AD11" s="40"/>
      <c r="AE11" s="38"/>
      <c r="AF11" s="38"/>
      <c r="AG11" s="38"/>
      <c r="AH11" s="38"/>
      <c r="AI11" s="40"/>
      <c r="AJ11" s="38"/>
      <c r="AK11" s="39"/>
      <c r="AL11" s="37"/>
      <c r="AM11" s="37"/>
    </row>
    <row r="12" spans="1:39" ht="13.8" thickBot="1">
      <c r="A12" s="2" t="s">
        <v>0</v>
      </c>
      <c r="B12" s="3" t="s">
        <v>1</v>
      </c>
      <c r="C12" s="3" t="s">
        <v>252</v>
      </c>
      <c r="D12" s="3" t="s">
        <v>111</v>
      </c>
      <c r="E12" s="3" t="s">
        <v>238</v>
      </c>
      <c r="F12" s="3" t="s">
        <v>16</v>
      </c>
      <c r="G12" s="3" t="s">
        <v>3</v>
      </c>
      <c r="H12" s="3" t="s">
        <v>4</v>
      </c>
      <c r="I12" s="4" t="s">
        <v>5</v>
      </c>
      <c r="J12" s="2" t="s">
        <v>11</v>
      </c>
      <c r="K12" s="3" t="s">
        <v>12</v>
      </c>
      <c r="L12" s="3" t="s">
        <v>13</v>
      </c>
      <c r="M12" s="3" t="s">
        <v>66</v>
      </c>
      <c r="N12" s="3" t="s">
        <v>65</v>
      </c>
      <c r="O12" s="3" t="s">
        <v>67</v>
      </c>
      <c r="P12" s="3" t="s">
        <v>68</v>
      </c>
      <c r="Q12" s="3" t="s">
        <v>59</v>
      </c>
      <c r="R12" s="3" t="s">
        <v>60</v>
      </c>
      <c r="S12" s="3" t="s">
        <v>22</v>
      </c>
      <c r="T12" s="46" t="s">
        <v>14</v>
      </c>
      <c r="U12" s="41"/>
      <c r="V12" s="41"/>
      <c r="W12" s="41"/>
      <c r="X12" s="41"/>
      <c r="Y12" s="42"/>
      <c r="Z12" s="41"/>
      <c r="AA12" s="41"/>
      <c r="AB12" s="41"/>
      <c r="AC12" s="41"/>
      <c r="AD12" s="42"/>
      <c r="AE12" s="41"/>
      <c r="AF12" s="41"/>
      <c r="AG12" s="41"/>
      <c r="AH12" s="41"/>
      <c r="AI12" s="42"/>
      <c r="AJ12" s="43"/>
      <c r="AK12" s="39"/>
      <c r="AL12" s="37"/>
      <c r="AM12" s="37"/>
    </row>
    <row r="13" spans="1:39">
      <c r="A13" s="19">
        <f t="shared" ref="A13:A24" si="0">RANK(T13,$T$13:$T$24,0)</f>
        <v>1</v>
      </c>
      <c r="B13" s="22">
        <v>134</v>
      </c>
      <c r="C13" s="22">
        <v>12</v>
      </c>
      <c r="D13" s="22" t="s">
        <v>236</v>
      </c>
      <c r="E13" s="22">
        <v>2528719</v>
      </c>
      <c r="F13" s="22"/>
      <c r="G13" s="22" t="s">
        <v>240</v>
      </c>
      <c r="H13" s="22" t="s">
        <v>251</v>
      </c>
      <c r="I13" s="23"/>
      <c r="J13" s="24">
        <v>4.0999999999999996</v>
      </c>
      <c r="K13" s="25">
        <v>3.6</v>
      </c>
      <c r="L13" s="25">
        <v>3.8</v>
      </c>
      <c r="M13" s="51">
        <v>2.2000000000000002</v>
      </c>
      <c r="N13" s="51">
        <v>1.8</v>
      </c>
      <c r="O13" s="49">
        <v>2.1</v>
      </c>
      <c r="P13" s="49">
        <v>2.1</v>
      </c>
      <c r="Q13" s="49" t="s">
        <v>276</v>
      </c>
      <c r="R13" s="49" t="s">
        <v>61</v>
      </c>
      <c r="S13" s="25">
        <v>21.16</v>
      </c>
      <c r="T13" s="26">
        <f>(J13+K13+L13)+IF((VLOOKUP(Q13,MogulsDD!$A$1:$D$1000,4,FALSE)*(M13+O13)/2)&gt;3.75,3.75,VLOOKUP(Q13,MogulsDD!$A$1:$D$1000,4,FALSE)*(M13+O13)/2)+IF((VLOOKUP(R13,MogulsDD!$A$1:$D$1000,4,FALSE)*(N13+P13)/2)&gt;3.75,3.75,VLOOKUP(R13,MogulsDD!$A$1:$D$1000,4,FALSE)*(N13+P13)/2)+IF((18-12*S13/$K$5)&gt;7.5,7.5,IF((18-12*S13/$K$5)&lt;0,0,(18-12*S13/$K$5)))</f>
        <v>22.159256397875424</v>
      </c>
      <c r="U13" s="38"/>
      <c r="V13" s="38"/>
      <c r="W13" s="38"/>
      <c r="X13" s="38"/>
      <c r="Y13" s="39"/>
      <c r="Z13" s="38"/>
      <c r="AA13" s="38"/>
      <c r="AB13" s="38"/>
      <c r="AC13" s="38"/>
      <c r="AD13" s="39"/>
      <c r="AE13" s="38"/>
      <c r="AF13" s="38"/>
      <c r="AG13" s="38"/>
      <c r="AH13" s="38"/>
      <c r="AI13" s="39"/>
      <c r="AJ13" s="44"/>
      <c r="AK13" s="39"/>
      <c r="AL13" s="37"/>
      <c r="AM13" s="37"/>
    </row>
    <row r="14" spans="1:39">
      <c r="A14" s="19">
        <f t="shared" si="0"/>
        <v>2</v>
      </c>
      <c r="B14" s="22">
        <v>61</v>
      </c>
      <c r="C14" s="22">
        <v>7</v>
      </c>
      <c r="D14" s="22" t="s">
        <v>176</v>
      </c>
      <c r="E14" s="22">
        <v>2531087</v>
      </c>
      <c r="F14" s="22" t="s">
        <v>173</v>
      </c>
      <c r="G14" s="22" t="s">
        <v>239</v>
      </c>
      <c r="H14" s="22" t="s">
        <v>177</v>
      </c>
      <c r="I14" s="23" t="s">
        <v>178</v>
      </c>
      <c r="J14" s="27">
        <v>3.7</v>
      </c>
      <c r="K14" s="28">
        <v>3.9</v>
      </c>
      <c r="L14" s="28">
        <v>3.5</v>
      </c>
      <c r="M14" s="52">
        <v>1.9</v>
      </c>
      <c r="N14" s="52">
        <v>1.7</v>
      </c>
      <c r="O14" s="49">
        <v>1.9</v>
      </c>
      <c r="P14" s="49">
        <v>1.9</v>
      </c>
      <c r="Q14" s="49" t="s">
        <v>275</v>
      </c>
      <c r="R14" s="49" t="s">
        <v>279</v>
      </c>
      <c r="S14" s="25">
        <v>20.34</v>
      </c>
      <c r="T14" s="26">
        <f>(J14+K14+L14)+IF((VLOOKUP(Q14,MogulsDD!$A$1:$D$1000,4,FALSE)*(M14+O14)/2)&gt;3.75,3.75,VLOOKUP(Q14,MogulsDD!$A$1:$D$1000,4,FALSE)*(M14+O14)/2)+IF((VLOOKUP(R14,MogulsDD!$A$1:$D$1000,4,FALSE)*(N14+P14)/2)&gt;3.75,3.75,VLOOKUP(R14,MogulsDD!$A$1:$D$1000,4,FALSE)*(N14+P14)/2)+IF((18-12*S14/$K$5)&gt;7.5,7.5,IF((18-12*S14/$K$5)&lt;0,0,(18-12*S14/$K$5)))</f>
        <v>20.468389183969098</v>
      </c>
      <c r="U14" s="38"/>
      <c r="V14" s="38"/>
      <c r="W14" s="38"/>
      <c r="X14" s="38"/>
      <c r="Y14" s="39"/>
      <c r="Z14" s="38"/>
      <c r="AA14" s="38"/>
      <c r="AB14" s="38"/>
      <c r="AC14" s="38"/>
      <c r="AD14" s="39"/>
      <c r="AE14" s="38"/>
      <c r="AF14" s="38"/>
      <c r="AG14" s="38"/>
      <c r="AH14" s="38"/>
      <c r="AI14" s="39"/>
      <c r="AJ14" s="44"/>
      <c r="AK14" s="39"/>
      <c r="AL14" s="37"/>
      <c r="AM14" s="37"/>
    </row>
    <row r="15" spans="1:39">
      <c r="A15" s="19">
        <f t="shared" si="0"/>
        <v>3</v>
      </c>
      <c r="B15" s="22">
        <v>113</v>
      </c>
      <c r="C15" s="22">
        <v>1</v>
      </c>
      <c r="D15" s="22" t="s">
        <v>235</v>
      </c>
      <c r="E15" s="22"/>
      <c r="F15" s="22"/>
      <c r="G15" s="22" t="s">
        <v>240</v>
      </c>
      <c r="H15" s="100" t="s">
        <v>250</v>
      </c>
      <c r="I15" s="23"/>
      <c r="J15" s="27">
        <v>3.3</v>
      </c>
      <c r="K15" s="28">
        <v>3.1</v>
      </c>
      <c r="L15" s="28">
        <v>2.8</v>
      </c>
      <c r="M15" s="52">
        <v>2.1</v>
      </c>
      <c r="N15" s="52">
        <v>1.9</v>
      </c>
      <c r="O15" s="49">
        <v>2</v>
      </c>
      <c r="P15" s="49">
        <v>2</v>
      </c>
      <c r="Q15" s="49" t="s">
        <v>274</v>
      </c>
      <c r="R15" s="49" t="s">
        <v>276</v>
      </c>
      <c r="S15" s="25">
        <v>20.6</v>
      </c>
      <c r="T15" s="26">
        <f>(J15+K15+L15)+IF((VLOOKUP(Q15,MogulsDD!$A$1:$D$1000,4,FALSE)*(M15+O15)/2)&gt;3.75,3.75,VLOOKUP(Q15,MogulsDD!$A$1:$D$1000,4,FALSE)*(M15+O15)/2)+IF((VLOOKUP(R15,MogulsDD!$A$1:$D$1000,4,FALSE)*(N15+P15)/2)&gt;3.75,3.75,VLOOKUP(R15,MogulsDD!$A$1:$D$1000,4,FALSE)*(N15+P15)/2)+IF((18-12*S15/$K$5)&gt;7.5,7.5,IF((18-12*S15/$K$5)&lt;0,0,(18-12*S15/$K$5)))</f>
        <v>19.182237324963786</v>
      </c>
      <c r="U15" s="38"/>
      <c r="V15" s="38"/>
      <c r="W15" s="38"/>
      <c r="X15" s="38"/>
      <c r="Y15" s="39"/>
      <c r="Z15" s="38"/>
      <c r="AA15" s="38"/>
      <c r="AB15" s="38"/>
      <c r="AC15" s="38"/>
      <c r="AD15" s="39"/>
      <c r="AE15" s="38"/>
      <c r="AF15" s="38"/>
      <c r="AG15" s="38"/>
      <c r="AH15" s="38"/>
      <c r="AI15" s="39"/>
      <c r="AJ15" s="44"/>
      <c r="AK15" s="39"/>
      <c r="AL15" s="37"/>
      <c r="AM15" s="37"/>
    </row>
    <row r="16" spans="1:39">
      <c r="A16" s="19">
        <f t="shared" si="0"/>
        <v>4</v>
      </c>
      <c r="B16" s="22">
        <v>85</v>
      </c>
      <c r="C16" s="22">
        <v>4</v>
      </c>
      <c r="D16" s="22" t="s">
        <v>212</v>
      </c>
      <c r="E16" s="22">
        <v>2532171</v>
      </c>
      <c r="F16" s="22" t="s">
        <v>206</v>
      </c>
      <c r="G16" s="22" t="s">
        <v>207</v>
      </c>
      <c r="H16" s="22" t="s">
        <v>245</v>
      </c>
      <c r="I16" s="23" t="s">
        <v>213</v>
      </c>
      <c r="J16" s="27">
        <v>2.8</v>
      </c>
      <c r="K16" s="28">
        <v>2.9</v>
      </c>
      <c r="L16" s="28">
        <v>3.3</v>
      </c>
      <c r="M16" s="52">
        <v>1.7</v>
      </c>
      <c r="N16" s="52">
        <v>1.7</v>
      </c>
      <c r="O16" s="49">
        <v>1.9</v>
      </c>
      <c r="P16" s="49">
        <v>2</v>
      </c>
      <c r="Q16" s="49" t="s">
        <v>61</v>
      </c>
      <c r="R16" s="49" t="s">
        <v>272</v>
      </c>
      <c r="S16" s="25">
        <v>22.45</v>
      </c>
      <c r="T16" s="26">
        <f>(J16+K16+L16)+IF((VLOOKUP(Q16,MogulsDD!$A$1:$D$1000,4,FALSE)*(M16+O16)/2)&gt;3.75,3.75,VLOOKUP(Q16,MogulsDD!$A$1:$D$1000,4,FALSE)*(M16+O16)/2)+IF((VLOOKUP(R16,MogulsDD!$A$1:$D$1000,4,FALSE)*(N16+P16)/2)&gt;3.75,3.75,VLOOKUP(R16,MogulsDD!$A$1:$D$1000,4,FALSE)*(N16+P16)/2)+IF((18-12*S16/$K$5)&gt;7.5,7.5,IF((18-12*S16/$K$5)&lt;0,0,(18-12*S16/$K$5)))</f>
        <v>18.464291405118303</v>
      </c>
      <c r="U16" s="38"/>
      <c r="V16" s="38"/>
      <c r="W16" s="38"/>
      <c r="X16" s="38"/>
      <c r="Y16" s="39"/>
      <c r="Z16" s="38"/>
      <c r="AA16" s="38"/>
      <c r="AB16" s="38"/>
      <c r="AC16" s="38"/>
      <c r="AD16" s="39"/>
      <c r="AE16" s="38"/>
      <c r="AF16" s="38"/>
      <c r="AG16" s="38"/>
      <c r="AH16" s="38"/>
      <c r="AI16" s="39"/>
      <c r="AJ16" s="44"/>
      <c r="AK16" s="39"/>
      <c r="AL16" s="37"/>
      <c r="AM16" s="37"/>
    </row>
    <row r="17" spans="1:39">
      <c r="A17" s="19">
        <f t="shared" si="0"/>
        <v>5</v>
      </c>
      <c r="B17" s="22">
        <v>38</v>
      </c>
      <c r="C17" s="22">
        <v>3</v>
      </c>
      <c r="D17" s="22" t="s">
        <v>179</v>
      </c>
      <c r="E17" s="22">
        <v>2530095</v>
      </c>
      <c r="F17" s="22" t="s">
        <v>173</v>
      </c>
      <c r="G17" s="22" t="s">
        <v>239</v>
      </c>
      <c r="H17" s="22" t="s">
        <v>180</v>
      </c>
      <c r="I17" s="23" t="s">
        <v>181</v>
      </c>
      <c r="J17" s="27">
        <v>3.1</v>
      </c>
      <c r="K17" s="28">
        <v>3.3</v>
      </c>
      <c r="L17" s="28">
        <v>3.3</v>
      </c>
      <c r="M17" s="52">
        <v>1.2</v>
      </c>
      <c r="N17" s="52">
        <v>1.5</v>
      </c>
      <c r="O17" s="49">
        <v>1.3</v>
      </c>
      <c r="P17" s="49">
        <v>1.6</v>
      </c>
      <c r="Q17" s="49" t="s">
        <v>273</v>
      </c>
      <c r="R17" s="49" t="s">
        <v>279</v>
      </c>
      <c r="S17" s="25">
        <v>20.38</v>
      </c>
      <c r="T17" s="26">
        <f>(J17+K17+L17)+IF((VLOOKUP(Q17,MogulsDD!$A$1:$D$1000,4,FALSE)*(M17+O17)/2)&gt;3.75,3.75,VLOOKUP(Q17,MogulsDD!$A$1:$D$1000,4,FALSE)*(M17+O17)/2)+IF((VLOOKUP(R17,MogulsDD!$A$1:$D$1000,4,FALSE)*(N17+P17)/2)&gt;3.75,3.75,VLOOKUP(R17,MogulsDD!$A$1:$D$1000,4,FALSE)*(N17+P17)/2)+IF((18-12*S17/$K$5)&gt;7.5,7.5,IF((18-12*S17/$K$5)&lt;0,0,(18-12*S17/$K$5)))</f>
        <v>18.19421197489136</v>
      </c>
      <c r="U17" s="38"/>
      <c r="V17" s="38"/>
      <c r="W17" s="38"/>
      <c r="X17" s="38"/>
      <c r="Y17" s="39"/>
      <c r="Z17" s="38"/>
      <c r="AA17" s="38"/>
      <c r="AB17" s="38"/>
      <c r="AC17" s="38"/>
      <c r="AD17" s="39"/>
      <c r="AE17" s="38"/>
      <c r="AF17" s="38"/>
      <c r="AG17" s="38"/>
      <c r="AH17" s="38"/>
      <c r="AI17" s="39"/>
      <c r="AJ17" s="44"/>
      <c r="AK17" s="39"/>
      <c r="AL17" s="37"/>
      <c r="AM17" s="37"/>
    </row>
    <row r="18" spans="1:39" ht="13.8" thickBot="1">
      <c r="A18" s="19">
        <f t="shared" si="0"/>
        <v>6</v>
      </c>
      <c r="B18" s="14">
        <v>86</v>
      </c>
      <c r="C18" s="22">
        <v>8</v>
      </c>
      <c r="D18" s="14" t="s">
        <v>233</v>
      </c>
      <c r="E18" s="22"/>
      <c r="F18" s="14"/>
      <c r="G18" s="14" t="s">
        <v>240</v>
      </c>
      <c r="H18" s="14" t="s">
        <v>248</v>
      </c>
      <c r="I18" s="18"/>
      <c r="J18" s="29">
        <v>2.7</v>
      </c>
      <c r="K18" s="30">
        <v>2.7</v>
      </c>
      <c r="L18" s="30">
        <v>3</v>
      </c>
      <c r="M18" s="53">
        <v>1.9</v>
      </c>
      <c r="N18" s="53">
        <v>1.7</v>
      </c>
      <c r="O18" s="50">
        <v>2.1</v>
      </c>
      <c r="P18" s="50">
        <v>1.2</v>
      </c>
      <c r="Q18" s="49" t="s">
        <v>276</v>
      </c>
      <c r="R18" s="49" t="s">
        <v>274</v>
      </c>
      <c r="S18" s="25">
        <v>23.29</v>
      </c>
      <c r="T18" s="26">
        <f>(J18+K18+L18)+IF((VLOOKUP(Q18,MogulsDD!$A$1:$D$1000,4,FALSE)*(M18+O18)/2)&gt;3.75,3.75,VLOOKUP(Q18,MogulsDD!$A$1:$D$1000,4,FALSE)*(M18+O18)/2)+IF((VLOOKUP(R18,MogulsDD!$A$1:$D$1000,4,FALSE)*(N18+P18)/2)&gt;3.75,3.75,VLOOKUP(R18,MogulsDD!$A$1:$D$1000,4,FALSE)*(N18+P18)/2)+IF((18-12*S18/$K$5)&gt;7.5,7.5,IF((18-12*S18/$K$5)&lt;0,0,(18-12*S18/$K$5)))</f>
        <v>16.421570014485756</v>
      </c>
      <c r="U18" s="38"/>
      <c r="V18" s="38"/>
      <c r="W18" s="38"/>
      <c r="X18" s="38"/>
      <c r="Y18" s="39"/>
      <c r="Z18" s="38"/>
      <c r="AA18" s="38"/>
      <c r="AB18" s="38"/>
      <c r="AC18" s="38"/>
      <c r="AD18" s="39"/>
      <c r="AE18" s="38"/>
      <c r="AF18" s="38"/>
      <c r="AG18" s="38"/>
      <c r="AH18" s="38"/>
      <c r="AI18" s="39"/>
      <c r="AJ18" s="44"/>
      <c r="AK18" s="39"/>
      <c r="AL18" s="37"/>
      <c r="AM18" s="37"/>
    </row>
    <row r="19" spans="1:39">
      <c r="A19" s="19">
        <f t="shared" si="0"/>
        <v>7</v>
      </c>
      <c r="B19" s="22">
        <v>99</v>
      </c>
      <c r="C19" s="22">
        <v>6</v>
      </c>
      <c r="D19" s="22" t="s">
        <v>184</v>
      </c>
      <c r="E19" s="22"/>
      <c r="F19" s="22" t="s">
        <v>185</v>
      </c>
      <c r="G19" s="22" t="s">
        <v>122</v>
      </c>
      <c r="H19" s="22" t="s">
        <v>186</v>
      </c>
      <c r="I19" s="23" t="s">
        <v>187</v>
      </c>
      <c r="J19" s="24">
        <v>2.7</v>
      </c>
      <c r="K19" s="25">
        <v>2.7</v>
      </c>
      <c r="L19" s="25">
        <v>2.6</v>
      </c>
      <c r="M19" s="51">
        <v>0</v>
      </c>
      <c r="N19" s="51">
        <v>1.7</v>
      </c>
      <c r="O19" s="49">
        <v>0</v>
      </c>
      <c r="P19" s="49">
        <v>1.4</v>
      </c>
      <c r="Q19" s="54" t="s">
        <v>280</v>
      </c>
      <c r="R19" s="54" t="s">
        <v>279</v>
      </c>
      <c r="S19" s="25">
        <v>19.62</v>
      </c>
      <c r="T19" s="26">
        <f>(J19+K19+L19)+IF((VLOOKUP(Q19,MogulsDD!$A$1:$D$1000,4,FALSE)*(M19+O19)/2)&gt;3.75,3.75,VLOOKUP(Q19,MogulsDD!$A$1:$D$1000,4,FALSE)*(M19+O19)/2)+IF((VLOOKUP(R19,MogulsDD!$A$1:$D$1000,4,FALSE)*(N19+P19)/2)&gt;3.75,3.75,VLOOKUP(R19,MogulsDD!$A$1:$D$1000,4,FALSE)*(N19+P19)/2)+IF((18-12*S19/$K$5)&gt;7.5,7.5,IF((18-12*S19/$K$5)&lt;0,0,(18-12*S19/$K$5)))</f>
        <v>15.809578947368422</v>
      </c>
      <c r="U19" s="38"/>
      <c r="V19" s="38"/>
      <c r="W19" s="38"/>
      <c r="X19" s="38"/>
      <c r="Y19" s="39"/>
      <c r="Z19" s="38"/>
      <c r="AA19" s="38"/>
      <c r="AB19" s="38"/>
      <c r="AC19" s="38"/>
      <c r="AD19" s="39"/>
      <c r="AE19" s="38"/>
      <c r="AF19" s="38"/>
      <c r="AG19" s="38"/>
      <c r="AH19" s="38"/>
      <c r="AI19" s="39"/>
      <c r="AJ19" s="44"/>
      <c r="AK19" s="39"/>
      <c r="AL19" s="37"/>
      <c r="AM19" s="37"/>
    </row>
    <row r="20" spans="1:39">
      <c r="A20" s="19">
        <f t="shared" si="0"/>
        <v>8</v>
      </c>
      <c r="B20" s="22">
        <v>21</v>
      </c>
      <c r="C20" s="22">
        <v>10</v>
      </c>
      <c r="D20" s="22" t="s">
        <v>182</v>
      </c>
      <c r="E20" s="22">
        <v>2530097</v>
      </c>
      <c r="F20" s="22" t="s">
        <v>173</v>
      </c>
      <c r="G20" s="22" t="s">
        <v>239</v>
      </c>
      <c r="H20" s="22" t="s">
        <v>183</v>
      </c>
      <c r="I20" s="23" t="s">
        <v>115</v>
      </c>
      <c r="J20" s="27">
        <v>2.4</v>
      </c>
      <c r="K20" s="28">
        <v>2.8</v>
      </c>
      <c r="L20" s="28">
        <v>2.5</v>
      </c>
      <c r="M20" s="52">
        <v>1.4</v>
      </c>
      <c r="N20" s="52">
        <v>1.1000000000000001</v>
      </c>
      <c r="O20" s="49">
        <v>1.4</v>
      </c>
      <c r="P20" s="49">
        <v>1.5</v>
      </c>
      <c r="Q20" s="49" t="s">
        <v>61</v>
      </c>
      <c r="R20" s="49" t="s">
        <v>273</v>
      </c>
      <c r="S20" s="25">
        <v>22.42</v>
      </c>
      <c r="T20" s="26">
        <f>(J20+K20+L20)+IF((VLOOKUP(Q20,MogulsDD!$A$1:$D$1000,4,FALSE)*(M20+O20)/2)&gt;3.75,3.75,VLOOKUP(Q20,MogulsDD!$A$1:$D$1000,4,FALSE)*(M20+O20)/2)+IF((VLOOKUP(R20,MogulsDD!$A$1:$D$1000,4,FALSE)*(N20+P20)/2)&gt;3.75,3.75,VLOOKUP(R20,MogulsDD!$A$1:$D$1000,4,FALSE)*(N20+P20)/2)+IF((18-12*S20/$K$5)&gt;7.5,7.5,IF((18-12*S20/$K$5)&lt;0,0,(18-12*S20/$K$5)))</f>
        <v>15.559174311926604</v>
      </c>
      <c r="U20" s="38"/>
      <c r="V20" s="38"/>
      <c r="W20" s="38"/>
      <c r="X20" s="38"/>
      <c r="Y20" s="39"/>
      <c r="Z20" s="38"/>
      <c r="AA20" s="38"/>
      <c r="AB20" s="38"/>
      <c r="AC20" s="38"/>
      <c r="AD20" s="39"/>
      <c r="AE20" s="38"/>
      <c r="AF20" s="38"/>
      <c r="AG20" s="38"/>
      <c r="AH20" s="38"/>
      <c r="AI20" s="39"/>
      <c r="AJ20" s="44"/>
      <c r="AK20" s="39"/>
      <c r="AL20" s="37"/>
      <c r="AM20" s="37"/>
    </row>
    <row r="21" spans="1:39">
      <c r="A21" s="19">
        <f t="shared" si="0"/>
        <v>9</v>
      </c>
      <c r="B21" s="22">
        <v>23</v>
      </c>
      <c r="C21" s="22">
        <v>11</v>
      </c>
      <c r="D21" s="22" t="s">
        <v>232</v>
      </c>
      <c r="E21" s="22"/>
      <c r="F21" s="22"/>
      <c r="G21" s="22" t="s">
        <v>240</v>
      </c>
      <c r="H21" s="22" t="s">
        <v>247</v>
      </c>
      <c r="I21" s="23"/>
      <c r="J21" s="27">
        <v>2.2999999999999998</v>
      </c>
      <c r="K21" s="28">
        <v>2.2000000000000002</v>
      </c>
      <c r="L21" s="28">
        <v>2.4</v>
      </c>
      <c r="M21" s="52">
        <v>0</v>
      </c>
      <c r="N21" s="52">
        <v>1.5</v>
      </c>
      <c r="O21" s="49">
        <v>0</v>
      </c>
      <c r="P21" s="49">
        <v>1.3</v>
      </c>
      <c r="Q21" s="49" t="s">
        <v>279</v>
      </c>
      <c r="R21" s="49" t="s">
        <v>274</v>
      </c>
      <c r="S21" s="25">
        <v>23.44</v>
      </c>
      <c r="T21" s="26">
        <f>(J21+K21+L21)+IF((VLOOKUP(Q21,MogulsDD!$A$1:$D$1000,4,FALSE)*(M21+O21)/2)&gt;3.75,3.75,VLOOKUP(Q21,MogulsDD!$A$1:$D$1000,4,FALSE)*(M21+O21)/2)+IF((VLOOKUP(R21,MogulsDD!$A$1:$D$1000,4,FALSE)*(N21+P21)/2)&gt;3.75,3.75,VLOOKUP(R21,MogulsDD!$A$1:$D$1000,4,FALSE)*(N21+P21)/2)+IF((18-12*S21/$K$5)&gt;7.5,7.5,IF((18-12*S21/$K$5)&lt;0,0,(18-12*S21/$K$5)))</f>
        <v>12.396155480444229</v>
      </c>
      <c r="U21" s="38"/>
      <c r="V21" s="38"/>
      <c r="W21" s="38"/>
      <c r="X21" s="38"/>
      <c r="Y21" s="39"/>
      <c r="Z21" s="38"/>
      <c r="AA21" s="38"/>
      <c r="AB21" s="38"/>
      <c r="AC21" s="38"/>
      <c r="AD21" s="39"/>
      <c r="AE21" s="38"/>
      <c r="AF21" s="38"/>
      <c r="AG21" s="38"/>
      <c r="AH21" s="38"/>
      <c r="AI21" s="39"/>
      <c r="AJ21" s="44"/>
      <c r="AK21" s="39"/>
      <c r="AL21" s="37"/>
      <c r="AM21" s="37"/>
    </row>
    <row r="22" spans="1:39">
      <c r="A22" s="19">
        <f t="shared" si="0"/>
        <v>10</v>
      </c>
      <c r="B22" s="22">
        <v>124</v>
      </c>
      <c r="C22" s="22">
        <v>5</v>
      </c>
      <c r="D22" s="22" t="s">
        <v>241</v>
      </c>
      <c r="E22" s="22"/>
      <c r="F22" s="22">
        <v>22352</v>
      </c>
      <c r="G22" s="22" t="s">
        <v>122</v>
      </c>
      <c r="H22" s="22" t="s">
        <v>127</v>
      </c>
      <c r="I22" s="23" t="s">
        <v>128</v>
      </c>
      <c r="J22" s="27">
        <v>2</v>
      </c>
      <c r="K22" s="28">
        <v>1.5</v>
      </c>
      <c r="L22" s="28">
        <v>2</v>
      </c>
      <c r="M22" s="52">
        <v>1.8</v>
      </c>
      <c r="N22" s="52">
        <v>0</v>
      </c>
      <c r="O22" s="49">
        <v>1.5</v>
      </c>
      <c r="P22" s="49">
        <v>0</v>
      </c>
      <c r="Q22" s="49" t="s">
        <v>279</v>
      </c>
      <c r="R22" s="49" t="s">
        <v>279</v>
      </c>
      <c r="S22" s="25">
        <v>23.49</v>
      </c>
      <c r="T22" s="26">
        <f>(J22+K22+L22)+IF((VLOOKUP(Q22,MogulsDD!$A$1:$D$1000,4,FALSE)*(M22+O22)/2)&gt;3.75,3.75,VLOOKUP(Q22,MogulsDD!$A$1:$D$1000,4,FALSE)*(M22+O22)/2)+IF((VLOOKUP(R22,MogulsDD!$A$1:$D$1000,4,FALSE)*(N22+P22)/2)&gt;3.75,3.75,VLOOKUP(R22,MogulsDD!$A$1:$D$1000,4,FALSE)*(N22+P22)/2)+IF((18-12*S22/$K$5)&gt;7.5,7.5,IF((18-12*S22/$K$5)&lt;0,0,(18-12*S22/$K$5)))</f>
        <v>11.143183969097056</v>
      </c>
      <c r="U22" s="38"/>
      <c r="V22" s="38"/>
      <c r="W22" s="38"/>
      <c r="X22" s="38"/>
      <c r="Y22" s="39"/>
      <c r="Z22" s="38"/>
      <c r="AA22" s="38"/>
      <c r="AB22" s="38"/>
      <c r="AC22" s="38"/>
      <c r="AD22" s="39"/>
      <c r="AE22" s="38"/>
      <c r="AF22" s="38"/>
      <c r="AG22" s="38"/>
      <c r="AH22" s="38"/>
      <c r="AI22" s="39"/>
      <c r="AJ22" s="44"/>
      <c r="AK22" s="39"/>
      <c r="AL22" s="37"/>
      <c r="AM22" s="37"/>
    </row>
    <row r="23" spans="1:39">
      <c r="A23" s="19">
        <f t="shared" si="0"/>
        <v>11</v>
      </c>
      <c r="B23" s="22">
        <v>93</v>
      </c>
      <c r="C23" s="22">
        <v>14</v>
      </c>
      <c r="D23" s="22" t="s">
        <v>208</v>
      </c>
      <c r="E23" s="22">
        <v>2531506</v>
      </c>
      <c r="F23" s="22" t="s">
        <v>164</v>
      </c>
      <c r="G23" s="22" t="s">
        <v>209</v>
      </c>
      <c r="H23" s="99" t="s">
        <v>210</v>
      </c>
      <c r="I23" s="23" t="s">
        <v>211</v>
      </c>
      <c r="J23" s="27">
        <v>0.2</v>
      </c>
      <c r="K23" s="28">
        <v>0.7</v>
      </c>
      <c r="L23" s="28">
        <v>0.3</v>
      </c>
      <c r="M23" s="52">
        <v>1.3</v>
      </c>
      <c r="N23" s="52">
        <v>0.1</v>
      </c>
      <c r="O23" s="49">
        <v>1.1000000000000001</v>
      </c>
      <c r="P23" s="49">
        <v>0.1</v>
      </c>
      <c r="Q23" s="49" t="s">
        <v>279</v>
      </c>
      <c r="R23" s="49" t="s">
        <v>61</v>
      </c>
      <c r="S23" s="25">
        <v>24.71</v>
      </c>
      <c r="T23" s="26">
        <f>(J23+K23+L23)+IF((VLOOKUP(Q23,MogulsDD!$A$1:$D$1000,4,FALSE)*(M23+O23)/2)&gt;3.75,3.75,VLOOKUP(Q23,MogulsDD!$A$1:$D$1000,4,FALSE)*(M23+O23)/2)+IF((VLOOKUP(R23,MogulsDD!$A$1:$D$1000,4,FALSE)*(N23+P23)/2)&gt;3.75,3.75,VLOOKUP(R23,MogulsDD!$A$1:$D$1000,4,FALSE)*(N23+P23)/2)+IF((18-12*S23/$K$5)&gt;7.5,7.5,IF((18-12*S23/$K$5)&lt;0,0,(18-12*S23/$K$5)))</f>
        <v>5.9142790922259794</v>
      </c>
      <c r="U23" s="38"/>
      <c r="V23" s="38"/>
      <c r="W23" s="38"/>
      <c r="X23" s="38"/>
      <c r="Y23" s="39"/>
      <c r="Z23" s="38"/>
      <c r="AA23" s="38"/>
      <c r="AB23" s="38"/>
      <c r="AC23" s="38"/>
      <c r="AD23" s="39"/>
      <c r="AE23" s="38"/>
      <c r="AF23" s="38"/>
      <c r="AG23" s="38"/>
      <c r="AH23" s="38"/>
      <c r="AI23" s="39"/>
      <c r="AJ23" s="44"/>
      <c r="AK23" s="39"/>
      <c r="AL23" s="37"/>
      <c r="AM23" s="37"/>
    </row>
    <row r="24" spans="1:39">
      <c r="A24" s="19">
        <f t="shared" si="0"/>
        <v>12</v>
      </c>
      <c r="B24" s="22">
        <v>87</v>
      </c>
      <c r="C24" s="22">
        <v>13</v>
      </c>
      <c r="D24" s="22" t="s">
        <v>153</v>
      </c>
      <c r="E24" s="22"/>
      <c r="F24" s="22" t="s">
        <v>154</v>
      </c>
      <c r="G24" s="22" t="s">
        <v>122</v>
      </c>
      <c r="H24" s="22" t="s">
        <v>155</v>
      </c>
      <c r="I24" s="23" t="s">
        <v>133</v>
      </c>
      <c r="J24" s="27">
        <v>0</v>
      </c>
      <c r="K24" s="28">
        <v>0</v>
      </c>
      <c r="L24" s="28">
        <v>0</v>
      </c>
      <c r="M24" s="52">
        <v>0</v>
      </c>
      <c r="N24" s="52">
        <v>0</v>
      </c>
      <c r="O24" s="49">
        <v>0</v>
      </c>
      <c r="P24" s="49">
        <v>0</v>
      </c>
      <c r="Q24" s="49" t="s">
        <v>63</v>
      </c>
      <c r="R24" s="49" t="s">
        <v>63</v>
      </c>
      <c r="S24" s="25">
        <v>9999</v>
      </c>
      <c r="T24" s="26">
        <f>(J24+K24+L24)+IF((VLOOKUP(Q24,MogulsDD!$A$1:$D$1000,4,FALSE)*(M24+O24)/2)&gt;3.75,3.75,VLOOKUP(Q24,MogulsDD!$A$1:$D$1000,4,FALSE)*(M24+O24)/2)+IF((VLOOKUP(R24,MogulsDD!$A$1:$D$1000,4,FALSE)*(N24+P24)/2)&gt;3.75,3.75,VLOOKUP(R24,MogulsDD!$A$1:$D$1000,4,FALSE)*(N24+P24)/2)+IF((18-12*S24/$K$5)&gt;7.5,7.5,IF((18-12*S24/$K$5)&lt;0,0,(18-12*S24/$K$5)))</f>
        <v>0</v>
      </c>
      <c r="U24" s="38"/>
      <c r="V24" s="38"/>
      <c r="W24" s="38"/>
      <c r="X24" s="38"/>
      <c r="Y24" s="39"/>
      <c r="Z24" s="38"/>
      <c r="AA24" s="38"/>
      <c r="AB24" s="38"/>
      <c r="AC24" s="38"/>
      <c r="AD24" s="39"/>
      <c r="AE24" s="38"/>
      <c r="AF24" s="38"/>
      <c r="AG24" s="38"/>
      <c r="AH24" s="38"/>
      <c r="AI24" s="39"/>
      <c r="AJ24" s="44"/>
      <c r="AK24" s="39"/>
      <c r="AL24" s="37"/>
      <c r="AM24" s="37"/>
    </row>
    <row r="25" spans="1:39" ht="13.8" thickBot="1">
      <c r="A25" s="7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47"/>
      <c r="U25" s="38"/>
      <c r="V25" s="38"/>
      <c r="W25" s="38"/>
      <c r="X25" s="38"/>
      <c r="Y25" s="39"/>
      <c r="Z25" s="38"/>
      <c r="AA25" s="38"/>
      <c r="AB25" s="38"/>
      <c r="AC25" s="38"/>
      <c r="AD25" s="38"/>
      <c r="AE25" s="38"/>
      <c r="AF25" s="38"/>
      <c r="AG25" s="38"/>
      <c r="AH25" s="38"/>
      <c r="AI25" s="39"/>
      <c r="AJ25" s="38"/>
      <c r="AK25" s="39"/>
      <c r="AL25" s="37"/>
      <c r="AM25" s="37"/>
    </row>
    <row r="26" spans="1:39" ht="13.8" thickBot="1">
      <c r="A26" s="12"/>
      <c r="B26" s="11"/>
      <c r="C26" s="9"/>
      <c r="D26" s="9"/>
      <c r="E26" s="31" t="s">
        <v>257</v>
      </c>
      <c r="F26" s="9"/>
      <c r="G26" s="9"/>
      <c r="H26" s="9"/>
      <c r="I26" s="10"/>
      <c r="J26" s="21"/>
      <c r="K26" s="9"/>
      <c r="L26" s="9"/>
      <c r="M26" s="9"/>
      <c r="N26" s="9"/>
      <c r="O26" s="9"/>
      <c r="P26" s="9"/>
      <c r="Q26" s="9"/>
      <c r="R26" s="9"/>
      <c r="S26" s="9"/>
      <c r="T26" s="48"/>
      <c r="U26" s="38"/>
      <c r="V26" s="38"/>
      <c r="W26" s="38"/>
      <c r="X26" s="38"/>
      <c r="Y26" s="38"/>
      <c r="Z26" s="38"/>
      <c r="AA26" s="38"/>
      <c r="AB26" s="38"/>
      <c r="AC26" s="38"/>
      <c r="AD26" s="40"/>
      <c r="AE26" s="38"/>
      <c r="AF26" s="38"/>
      <c r="AG26" s="38"/>
      <c r="AH26" s="38"/>
      <c r="AI26" s="40"/>
      <c r="AJ26" s="38"/>
      <c r="AK26" s="39"/>
      <c r="AL26" s="37"/>
      <c r="AM26" s="37"/>
    </row>
    <row r="27" spans="1:39" ht="13.8" thickBot="1">
      <c r="A27" s="2"/>
      <c r="B27" s="3" t="s">
        <v>1</v>
      </c>
      <c r="C27" s="3" t="s">
        <v>252</v>
      </c>
      <c r="D27" s="3" t="s">
        <v>111</v>
      </c>
      <c r="E27" s="3" t="s">
        <v>238</v>
      </c>
      <c r="F27" s="3" t="s">
        <v>101</v>
      </c>
      <c r="G27" s="3" t="s">
        <v>3</v>
      </c>
      <c r="H27" s="3" t="s">
        <v>4</v>
      </c>
      <c r="I27" s="4" t="s">
        <v>5</v>
      </c>
      <c r="J27" s="2" t="s">
        <v>11</v>
      </c>
      <c r="K27" s="3" t="s">
        <v>12</v>
      </c>
      <c r="L27" s="3" t="s">
        <v>15</v>
      </c>
      <c r="M27" s="3" t="s">
        <v>66</v>
      </c>
      <c r="N27" s="3" t="s">
        <v>65</v>
      </c>
      <c r="O27" s="3" t="s">
        <v>67</v>
      </c>
      <c r="P27" s="3" t="s">
        <v>68</v>
      </c>
      <c r="Q27" s="3" t="s">
        <v>59</v>
      </c>
      <c r="R27" s="3" t="s">
        <v>60</v>
      </c>
      <c r="S27" s="3"/>
      <c r="T27" s="46" t="s">
        <v>14</v>
      </c>
      <c r="U27" s="41"/>
      <c r="V27" s="41"/>
      <c r="W27" s="41"/>
      <c r="X27" s="41"/>
      <c r="Y27" s="42"/>
      <c r="Z27" s="41"/>
      <c r="AA27" s="41"/>
      <c r="AB27" s="41"/>
      <c r="AC27" s="41"/>
      <c r="AD27" s="42"/>
      <c r="AE27" s="41"/>
      <c r="AF27" s="41"/>
      <c r="AG27" s="41"/>
      <c r="AH27" s="41"/>
      <c r="AI27" s="42"/>
      <c r="AJ27" s="43"/>
      <c r="AK27" s="39"/>
      <c r="AL27" s="37"/>
      <c r="AM27" s="37"/>
    </row>
    <row r="28" spans="1:39">
      <c r="A28" s="19">
        <f t="shared" ref="A28:A39" si="1">RANK(T28,$T$28:$T$39,0)</f>
        <v>1</v>
      </c>
      <c r="B28" s="32">
        <v>88</v>
      </c>
      <c r="C28" s="22">
        <v>6</v>
      </c>
      <c r="D28" s="22" t="s">
        <v>168</v>
      </c>
      <c r="E28" s="22"/>
      <c r="F28" s="22" t="s">
        <v>164</v>
      </c>
      <c r="G28" s="22" t="s">
        <v>209</v>
      </c>
      <c r="H28" s="22" t="s">
        <v>169</v>
      </c>
      <c r="I28" s="23" t="s">
        <v>103</v>
      </c>
      <c r="J28" s="24">
        <v>4.5</v>
      </c>
      <c r="K28" s="25">
        <v>4.0999999999999996</v>
      </c>
      <c r="L28" s="25">
        <v>4.2</v>
      </c>
      <c r="M28" s="51">
        <v>2</v>
      </c>
      <c r="N28" s="51">
        <v>2.2000000000000002</v>
      </c>
      <c r="O28" s="49">
        <v>2</v>
      </c>
      <c r="P28" s="49">
        <v>2.1</v>
      </c>
      <c r="Q28" s="49" t="s">
        <v>284</v>
      </c>
      <c r="R28" s="49" t="s">
        <v>272</v>
      </c>
      <c r="S28" s="25">
        <v>17.48</v>
      </c>
      <c r="T28" s="26">
        <f>(J28+K28+L28)+IF((VLOOKUP(Q28,MogulsDD!$A$1:$C$1000,3,FALSE)*(M28+O28)/2)&gt;3.75,3.75,VLOOKUP(Q28,MogulsDD!$A$1:$C$1000,3,FALSE)*(M28+O28)/2)+IF((VLOOKUP(R28,MogulsDD!$A$1:$C$1000,3,FALSE)*(N28+P28)/2)&gt;3.75,3.75,VLOOKUP(R28,MogulsDD!$A$1:$C$1000,3,FALSE)*(N28+P28)/2)+IF((18-12*S28/$J$5)&gt;7.5,7.5,IF((18-12*S28/$J$5)&lt;0,0,(18-12*S28/$J$5)))</f>
        <v>23.326468412066021</v>
      </c>
      <c r="U28" s="38"/>
      <c r="V28" s="38"/>
      <c r="W28" s="38"/>
      <c r="X28" s="38"/>
      <c r="Y28" s="39"/>
      <c r="Z28" s="38"/>
      <c r="AA28" s="38"/>
      <c r="AB28" s="38"/>
      <c r="AC28" s="38"/>
      <c r="AD28" s="39"/>
      <c r="AE28" s="38"/>
      <c r="AF28" s="38"/>
      <c r="AG28" s="38"/>
      <c r="AH28" s="38"/>
      <c r="AI28" s="39"/>
      <c r="AJ28" s="44"/>
      <c r="AK28" s="39"/>
      <c r="AL28" s="37"/>
      <c r="AM28" s="37"/>
    </row>
    <row r="29" spans="1:39">
      <c r="A29" s="19">
        <f t="shared" si="1"/>
        <v>2</v>
      </c>
      <c r="B29" s="32">
        <v>56</v>
      </c>
      <c r="C29" s="22">
        <v>20</v>
      </c>
      <c r="D29" s="22" t="s">
        <v>172</v>
      </c>
      <c r="E29" s="22">
        <v>2531748</v>
      </c>
      <c r="F29" s="22" t="s">
        <v>173</v>
      </c>
      <c r="G29" s="22" t="s">
        <v>239</v>
      </c>
      <c r="H29" s="22" t="s">
        <v>174</v>
      </c>
      <c r="I29" s="23" t="s">
        <v>175</v>
      </c>
      <c r="J29" s="27">
        <v>4.3</v>
      </c>
      <c r="K29" s="28">
        <v>4.3</v>
      </c>
      <c r="L29" s="28">
        <v>4.0999999999999996</v>
      </c>
      <c r="M29" s="52">
        <v>2.2999999999999998</v>
      </c>
      <c r="N29" s="52">
        <v>1.9</v>
      </c>
      <c r="O29" s="49">
        <v>2.4</v>
      </c>
      <c r="P29" s="49">
        <v>2</v>
      </c>
      <c r="Q29" s="49" t="s">
        <v>270</v>
      </c>
      <c r="R29" s="49" t="s">
        <v>293</v>
      </c>
      <c r="S29" s="25">
        <v>17.850000000000001</v>
      </c>
      <c r="T29" s="26">
        <f>(J29+K29+L29)+IF((VLOOKUP(Q29,MogulsDD!$A$1:$C$1000,3,FALSE)*(M29+O29)/2)&gt;3.75,3.75,VLOOKUP(Q29,MogulsDD!$A$1:$C$1000,3,FALSE)*(M29+O29)/2)+IF((VLOOKUP(R29,MogulsDD!$A$1:$C$1000,3,FALSE)*(N29+P29)/2)&gt;3.75,3.75,VLOOKUP(R29,MogulsDD!$A$1:$C$1000,3,FALSE)*(N29+P29)/2)+IF((18-12*S29/$J$5)&gt;7.5,7.5,IF((18-12*S29/$J$5)&lt;0,0,(18-12*S29/$J$5)))</f>
        <v>22.887264940239042</v>
      </c>
      <c r="U29" s="38"/>
      <c r="V29" s="38"/>
      <c r="W29" s="38"/>
      <c r="X29" s="38"/>
      <c r="Y29" s="39"/>
      <c r="Z29" s="38"/>
      <c r="AA29" s="38"/>
      <c r="AB29" s="38"/>
      <c r="AC29" s="38"/>
      <c r="AD29" s="39"/>
      <c r="AE29" s="38"/>
      <c r="AF29" s="38"/>
      <c r="AG29" s="38"/>
      <c r="AH29" s="38"/>
      <c r="AI29" s="39"/>
      <c r="AJ29" s="44"/>
      <c r="AK29" s="39"/>
      <c r="AL29" s="37"/>
      <c r="AM29" s="37"/>
    </row>
    <row r="30" spans="1:39">
      <c r="A30" s="19">
        <f t="shared" si="1"/>
        <v>3</v>
      </c>
      <c r="B30" s="32">
        <v>100</v>
      </c>
      <c r="C30" s="22">
        <v>4</v>
      </c>
      <c r="D30" s="22" t="s">
        <v>203</v>
      </c>
      <c r="E30" s="22"/>
      <c r="F30" s="22" t="s">
        <v>164</v>
      </c>
      <c r="G30" s="22" t="s">
        <v>209</v>
      </c>
      <c r="H30" s="22" t="s">
        <v>204</v>
      </c>
      <c r="I30" s="23" t="s">
        <v>115</v>
      </c>
      <c r="J30" s="27">
        <v>4.4000000000000004</v>
      </c>
      <c r="K30" s="28">
        <v>4.0999999999999996</v>
      </c>
      <c r="L30" s="28">
        <v>4.2</v>
      </c>
      <c r="M30" s="52">
        <v>2.2999999999999998</v>
      </c>
      <c r="N30" s="52">
        <v>2.2000000000000002</v>
      </c>
      <c r="O30" s="49">
        <v>2.2999999999999998</v>
      </c>
      <c r="P30" s="49">
        <v>2.1</v>
      </c>
      <c r="Q30" s="49" t="s">
        <v>284</v>
      </c>
      <c r="R30" s="49" t="s">
        <v>286</v>
      </c>
      <c r="S30" s="25">
        <v>18.87</v>
      </c>
      <c r="T30" s="26">
        <f>(J30+K30+L30)+IF((VLOOKUP(Q30,MogulsDD!$A$1:$C$1000,3,FALSE)*(M30+O30)/2)&gt;3.75,3.75,VLOOKUP(Q30,MogulsDD!$A$1:$C$1000,3,FALSE)*(M30+O30)/2)+IF((VLOOKUP(R30,MogulsDD!$A$1:$C$1000,3,FALSE)*(N30+P30)/2)&gt;3.75,3.75,VLOOKUP(R30,MogulsDD!$A$1:$C$1000,3,FALSE)*(N30+P30)/2)+IF((18-12*S30/$J$5)&gt;7.5,7.5,IF((18-12*S30/$J$5)&lt;0,0,(18-12*S30/$J$5)))</f>
        <v>22.570622936824133</v>
      </c>
      <c r="U30" s="38"/>
      <c r="V30" s="38"/>
      <c r="W30" s="38"/>
      <c r="X30" s="38"/>
      <c r="Y30" s="39"/>
      <c r="Z30" s="38"/>
      <c r="AA30" s="38"/>
      <c r="AB30" s="38"/>
      <c r="AC30" s="38"/>
      <c r="AD30" s="39"/>
      <c r="AE30" s="38"/>
      <c r="AF30" s="38"/>
      <c r="AG30" s="38"/>
      <c r="AH30" s="38"/>
      <c r="AI30" s="39"/>
      <c r="AJ30" s="44"/>
      <c r="AK30" s="39"/>
      <c r="AL30" s="37"/>
      <c r="AM30" s="37"/>
    </row>
    <row r="31" spans="1:39">
      <c r="A31" s="19">
        <f t="shared" si="1"/>
        <v>4</v>
      </c>
      <c r="B31" s="32">
        <v>97</v>
      </c>
      <c r="C31" s="22">
        <v>2</v>
      </c>
      <c r="D31" s="22" t="s">
        <v>159</v>
      </c>
      <c r="E31" s="22"/>
      <c r="F31" s="22" t="s">
        <v>160</v>
      </c>
      <c r="G31" s="22" t="s">
        <v>122</v>
      </c>
      <c r="H31" s="22" t="s">
        <v>161</v>
      </c>
      <c r="I31" s="23" t="s">
        <v>162</v>
      </c>
      <c r="J31" s="27">
        <v>4.4000000000000004</v>
      </c>
      <c r="K31" s="28">
        <v>4.2</v>
      </c>
      <c r="L31" s="28">
        <v>4.3</v>
      </c>
      <c r="M31" s="52">
        <v>2.1</v>
      </c>
      <c r="N31" s="52">
        <v>1.7</v>
      </c>
      <c r="O31" s="49">
        <v>2.2000000000000002</v>
      </c>
      <c r="P31" s="49">
        <v>1.6</v>
      </c>
      <c r="Q31" s="49" t="s">
        <v>284</v>
      </c>
      <c r="R31" s="49" t="s">
        <v>286</v>
      </c>
      <c r="S31" s="25">
        <v>18.170000000000002</v>
      </c>
      <c r="T31" s="26">
        <f>(J31+K31+L31)+IF((VLOOKUP(Q31,MogulsDD!$A$1:$C$1000,3,FALSE)*(M31+O31)/2)&gt;3.75,3.75,VLOOKUP(Q31,MogulsDD!$A$1:$C$1000,3,FALSE)*(M31+O31)/2)+IF((VLOOKUP(R31,MogulsDD!$A$1:$C$1000,3,FALSE)*(N31+P31)/2)&gt;3.75,3.75,VLOOKUP(R31,MogulsDD!$A$1:$C$1000,3,FALSE)*(N31+P31)/2)+IF((18-12*S31/$J$5)&gt;7.5,7.5,IF((18-12*S31/$J$5)&lt;0,0,(18-12*S31/$J$5)))</f>
        <v>22.546210586226525</v>
      </c>
      <c r="U31" s="38"/>
      <c r="V31" s="38"/>
      <c r="W31" s="38"/>
      <c r="X31" s="38"/>
      <c r="Y31" s="39"/>
      <c r="Z31" s="38"/>
      <c r="AA31" s="38"/>
      <c r="AB31" s="38"/>
      <c r="AC31" s="38"/>
      <c r="AD31" s="39"/>
      <c r="AE31" s="38"/>
      <c r="AF31" s="38"/>
      <c r="AG31" s="38"/>
      <c r="AH31" s="38"/>
      <c r="AI31" s="39"/>
      <c r="AJ31" s="44"/>
      <c r="AK31" s="39"/>
      <c r="AL31" s="37"/>
      <c r="AM31" s="37"/>
    </row>
    <row r="32" spans="1:39">
      <c r="A32" s="19">
        <f t="shared" si="1"/>
        <v>5</v>
      </c>
      <c r="B32" s="32">
        <v>49</v>
      </c>
      <c r="C32" s="22">
        <v>16</v>
      </c>
      <c r="D32" s="22" t="s">
        <v>170</v>
      </c>
      <c r="E32" s="22">
        <v>2529840</v>
      </c>
      <c r="F32" s="22" t="s">
        <v>164</v>
      </c>
      <c r="G32" s="22" t="s">
        <v>209</v>
      </c>
      <c r="H32" s="22" t="s">
        <v>171</v>
      </c>
      <c r="I32" s="23" t="s">
        <v>103</v>
      </c>
      <c r="J32" s="27">
        <v>4.3</v>
      </c>
      <c r="K32" s="28">
        <v>4.0999999999999996</v>
      </c>
      <c r="L32" s="28">
        <v>4.0999999999999996</v>
      </c>
      <c r="M32" s="52">
        <v>1.9</v>
      </c>
      <c r="N32" s="52">
        <v>1.8</v>
      </c>
      <c r="O32" s="49">
        <v>2.1</v>
      </c>
      <c r="P32" s="49">
        <v>2</v>
      </c>
      <c r="Q32" s="49" t="s">
        <v>284</v>
      </c>
      <c r="R32" s="49" t="s">
        <v>272</v>
      </c>
      <c r="S32" s="25">
        <v>18.600000000000001</v>
      </c>
      <c r="T32" s="26">
        <f>(J32+K32+L32)+IF((VLOOKUP(Q32,MogulsDD!$A$1:$C$1000,3,FALSE)*(M32+O32)/2)&gt;3.75,3.75,VLOOKUP(Q32,MogulsDD!$A$1:$C$1000,3,FALSE)*(M32+O32)/2)+IF((VLOOKUP(R32,MogulsDD!$A$1:$C$1000,3,FALSE)*(N32+P32)/2)&gt;3.75,3.75,VLOOKUP(R32,MogulsDD!$A$1:$C$1000,3,FALSE)*(N32+P32)/2)+IF((18-12*S32/$J$5)&gt;7.5,7.5,IF((18-12*S32/$J$5)&lt;0,0,(18-12*S32/$J$5)))</f>
        <v>21.986528173022194</v>
      </c>
      <c r="U32" s="38"/>
      <c r="V32" s="38"/>
      <c r="W32" s="38"/>
      <c r="X32" s="38"/>
      <c r="Y32" s="39"/>
      <c r="Z32" s="38"/>
      <c r="AA32" s="38"/>
      <c r="AB32" s="38"/>
      <c r="AC32" s="38"/>
      <c r="AD32" s="39"/>
      <c r="AE32" s="38"/>
      <c r="AF32" s="38"/>
      <c r="AG32" s="38"/>
      <c r="AH32" s="38"/>
      <c r="AI32" s="39"/>
      <c r="AJ32" s="44"/>
      <c r="AK32" s="39"/>
      <c r="AL32" s="37"/>
      <c r="AM32" s="37"/>
    </row>
    <row r="33" spans="1:39">
      <c r="A33" s="19">
        <f t="shared" si="1"/>
        <v>6</v>
      </c>
      <c r="B33" s="32">
        <v>81</v>
      </c>
      <c r="C33" s="22">
        <v>15</v>
      </c>
      <c r="D33" s="22" t="s">
        <v>205</v>
      </c>
      <c r="E33" s="22">
        <v>2530651</v>
      </c>
      <c r="F33" s="22" t="s">
        <v>206</v>
      </c>
      <c r="G33" s="22" t="s">
        <v>207</v>
      </c>
      <c r="H33" s="22" t="s">
        <v>243</v>
      </c>
      <c r="I33" s="23" t="s">
        <v>126</v>
      </c>
      <c r="J33" s="27">
        <v>4.0999999999999996</v>
      </c>
      <c r="K33" s="28">
        <v>4.0999999999999996</v>
      </c>
      <c r="L33" s="28">
        <v>3.9</v>
      </c>
      <c r="M33" s="52">
        <v>1.9</v>
      </c>
      <c r="N33" s="52">
        <v>2.2000000000000002</v>
      </c>
      <c r="O33" s="49">
        <v>2.1</v>
      </c>
      <c r="P33" s="49">
        <v>2.2000000000000002</v>
      </c>
      <c r="Q33" s="49" t="s">
        <v>284</v>
      </c>
      <c r="R33" s="49" t="s">
        <v>297</v>
      </c>
      <c r="S33" s="25">
        <v>18.77</v>
      </c>
      <c r="T33" s="26">
        <f>(J33+K33+L33)+IF((VLOOKUP(Q33,MogulsDD!$A$1:$C$1000,3,FALSE)*(M33+O33)/2)&gt;3.75,3.75,VLOOKUP(Q33,MogulsDD!$A$1:$C$1000,3,FALSE)*(M33+O33)/2)+IF((VLOOKUP(R33,MogulsDD!$A$1:$C$1000,3,FALSE)*(N33+P33)/2)&gt;3.75,3.75,VLOOKUP(R33,MogulsDD!$A$1:$C$1000,3,FALSE)*(N33+P33)/2)+IF((18-12*S33/$J$5)&gt;7.5,7.5,IF((18-12*S33/$J$5)&lt;0,0,(18-12*S33/$J$5)))</f>
        <v>21.954421172453046</v>
      </c>
      <c r="U33" s="38"/>
      <c r="V33" s="38"/>
      <c r="W33" s="38"/>
      <c r="X33" s="38"/>
      <c r="Y33" s="39"/>
      <c r="Z33" s="38"/>
      <c r="AA33" s="38"/>
      <c r="AB33" s="38"/>
      <c r="AC33" s="38"/>
      <c r="AD33" s="39"/>
      <c r="AE33" s="38"/>
      <c r="AF33" s="38"/>
      <c r="AG33" s="38"/>
      <c r="AH33" s="38"/>
      <c r="AI33" s="39"/>
      <c r="AJ33" s="44"/>
      <c r="AK33" s="39"/>
      <c r="AL33" s="37"/>
      <c r="AM33" s="37"/>
    </row>
    <row r="34" spans="1:39">
      <c r="A34" s="19">
        <f t="shared" si="1"/>
        <v>7</v>
      </c>
      <c r="B34" s="32">
        <v>95</v>
      </c>
      <c r="C34" s="22">
        <v>17</v>
      </c>
      <c r="D34" s="22" t="s">
        <v>134</v>
      </c>
      <c r="E34" s="22"/>
      <c r="F34" s="22" t="s">
        <v>135</v>
      </c>
      <c r="G34" s="22" t="s">
        <v>138</v>
      </c>
      <c r="H34" s="22" t="s">
        <v>136</v>
      </c>
      <c r="I34" s="23" t="s">
        <v>137</v>
      </c>
      <c r="J34" s="27">
        <v>4.0999999999999996</v>
      </c>
      <c r="K34" s="28">
        <v>4</v>
      </c>
      <c r="L34" s="28">
        <v>4.3</v>
      </c>
      <c r="M34" s="52">
        <v>1.9</v>
      </c>
      <c r="N34" s="52">
        <v>1.6</v>
      </c>
      <c r="O34" s="49">
        <v>2.2000000000000002</v>
      </c>
      <c r="P34" s="49">
        <v>1.9</v>
      </c>
      <c r="Q34" s="49" t="s">
        <v>284</v>
      </c>
      <c r="R34" s="49" t="s">
        <v>298</v>
      </c>
      <c r="S34" s="25">
        <v>20.53</v>
      </c>
      <c r="T34" s="26">
        <f>(J34+K34+L34)+IF((VLOOKUP(Q34,MogulsDD!$A$1:$C$1000,3,FALSE)*(M34+O34)/2)&gt;3.75,3.75,VLOOKUP(Q34,MogulsDD!$A$1:$C$1000,3,FALSE)*(M34+O34)/2)+IF((VLOOKUP(R34,MogulsDD!$A$1:$C$1000,3,FALSE)*(N34+P34)/2)&gt;3.75,3.75,VLOOKUP(R34,MogulsDD!$A$1:$C$1000,3,FALSE)*(N34+P34)/2)+IF((18-12*S34/$J$5)&gt;7.5,7.5,IF((18-12*S34/$J$5)&lt;0,0,(18-12*S34/$J$5)))</f>
        <v>20.700872225384174</v>
      </c>
      <c r="U34" s="38"/>
      <c r="V34" s="38"/>
      <c r="W34" s="38"/>
      <c r="X34" s="38"/>
      <c r="Y34" s="39"/>
      <c r="Z34" s="38"/>
      <c r="AA34" s="38"/>
      <c r="AB34" s="38"/>
      <c r="AC34" s="38"/>
      <c r="AD34" s="39"/>
      <c r="AE34" s="38"/>
      <c r="AF34" s="38"/>
      <c r="AG34" s="38"/>
      <c r="AH34" s="38"/>
      <c r="AI34" s="39"/>
      <c r="AJ34" s="44"/>
      <c r="AK34" s="39"/>
      <c r="AL34" s="37"/>
      <c r="AM34" s="37"/>
    </row>
    <row r="35" spans="1:39">
      <c r="A35" s="19">
        <f t="shared" si="1"/>
        <v>8</v>
      </c>
      <c r="B35" s="32">
        <v>44</v>
      </c>
      <c r="C35" s="22">
        <v>9</v>
      </c>
      <c r="D35" s="22" t="s">
        <v>110</v>
      </c>
      <c r="E35" s="22">
        <v>2531950</v>
      </c>
      <c r="F35" s="22" t="s">
        <v>106</v>
      </c>
      <c r="G35" s="22" t="s">
        <v>122</v>
      </c>
      <c r="H35" s="22" t="s">
        <v>102</v>
      </c>
      <c r="I35" s="23" t="s">
        <v>103</v>
      </c>
      <c r="J35" s="27">
        <v>3.6</v>
      </c>
      <c r="K35" s="28">
        <v>3.4</v>
      </c>
      <c r="L35" s="28">
        <v>3.8</v>
      </c>
      <c r="M35" s="52">
        <v>1.5</v>
      </c>
      <c r="N35" s="52">
        <v>2.1</v>
      </c>
      <c r="O35" s="49">
        <v>1.9</v>
      </c>
      <c r="P35" s="49">
        <v>2.2000000000000002</v>
      </c>
      <c r="Q35" s="49" t="s">
        <v>61</v>
      </c>
      <c r="R35" s="49" t="s">
        <v>272</v>
      </c>
      <c r="S35" s="25">
        <v>18.649999999999999</v>
      </c>
      <c r="T35" s="26">
        <f>(J35+K35+L35)+IF((VLOOKUP(Q35,MogulsDD!$A$1:$C$1000,3,FALSE)*(M35+O35)/2)&gt;3.75,3.75,VLOOKUP(Q35,MogulsDD!$A$1:$C$1000,3,FALSE)*(M35+O35)/2)+IF((VLOOKUP(R35,MogulsDD!$A$1:$C$1000,3,FALSE)*(N35+P35)/2)&gt;3.75,3.75,VLOOKUP(R35,MogulsDD!$A$1:$C$1000,3,FALSE)*(N35+P35)/2)+IF((18-12*S35/$J$5)&gt;7.5,7.5,IF((18-12*S35/$J$5)&lt;0,0,(18-12*S35/$J$5)))</f>
        <v>20.212379055207741</v>
      </c>
      <c r="U35" s="38"/>
      <c r="V35" s="38"/>
      <c r="W35" s="38"/>
      <c r="X35" s="38"/>
      <c r="Y35" s="39"/>
      <c r="Z35" s="38"/>
      <c r="AA35" s="38"/>
      <c r="AB35" s="38"/>
      <c r="AC35" s="38"/>
      <c r="AD35" s="39"/>
      <c r="AE35" s="38"/>
      <c r="AF35" s="38"/>
      <c r="AG35" s="38"/>
      <c r="AH35" s="38"/>
      <c r="AI35" s="39"/>
      <c r="AJ35" s="44"/>
      <c r="AK35" s="39"/>
      <c r="AL35" s="37"/>
      <c r="AM35" s="37"/>
    </row>
    <row r="36" spans="1:39">
      <c r="A36" s="19">
        <f t="shared" si="1"/>
        <v>9</v>
      </c>
      <c r="B36" s="32">
        <v>18</v>
      </c>
      <c r="C36" s="22">
        <v>21</v>
      </c>
      <c r="D36" s="22" t="s">
        <v>123</v>
      </c>
      <c r="E36" s="22">
        <v>2531086</v>
      </c>
      <c r="F36" s="22" t="s">
        <v>124</v>
      </c>
      <c r="G36" s="22" t="s">
        <v>122</v>
      </c>
      <c r="H36" s="22" t="s">
        <v>125</v>
      </c>
      <c r="I36" s="23" t="s">
        <v>126</v>
      </c>
      <c r="J36" s="27">
        <v>3</v>
      </c>
      <c r="K36" s="28">
        <v>3.1</v>
      </c>
      <c r="L36" s="28">
        <v>2.8</v>
      </c>
      <c r="M36" s="52">
        <v>1.4</v>
      </c>
      <c r="N36" s="52">
        <v>1.6</v>
      </c>
      <c r="O36" s="49">
        <v>1.5</v>
      </c>
      <c r="P36" s="49">
        <v>1.6</v>
      </c>
      <c r="Q36" s="49" t="s">
        <v>276</v>
      </c>
      <c r="R36" s="49" t="s">
        <v>286</v>
      </c>
      <c r="S36" s="25">
        <v>20.079999999999998</v>
      </c>
      <c r="T36" s="26">
        <f>(J36+K36+L36)+IF((VLOOKUP(Q36,MogulsDD!$A$1:$C$1000,3,FALSE)*(M36+O36)/2)&gt;3.75,3.75,VLOOKUP(Q36,MogulsDD!$A$1:$C$1000,3,FALSE)*(M36+O36)/2)+IF((VLOOKUP(R36,MogulsDD!$A$1:$C$1000,3,FALSE)*(N36+P36)/2)&gt;3.75,3.75,VLOOKUP(R36,MogulsDD!$A$1:$C$1000,3,FALSE)*(N36+P36)/2)+IF((18-12*S36/$J$5)&gt;7.5,7.5,IF((18-12*S36/$J$5)&lt;0,0,(18-12*S36/$J$5)))</f>
        <v>16.452214285714284</v>
      </c>
      <c r="U36" s="38"/>
      <c r="V36" s="38"/>
      <c r="W36" s="38"/>
      <c r="X36" s="38"/>
      <c r="Y36" s="39"/>
      <c r="Z36" s="38"/>
      <c r="AA36" s="38"/>
      <c r="AB36" s="38"/>
      <c r="AC36" s="38"/>
      <c r="AD36" s="39"/>
      <c r="AE36" s="38"/>
      <c r="AF36" s="38"/>
      <c r="AG36" s="38"/>
      <c r="AH36" s="38"/>
      <c r="AI36" s="39"/>
      <c r="AJ36" s="44"/>
      <c r="AK36" s="39"/>
      <c r="AL36" s="37"/>
      <c r="AM36" s="37"/>
    </row>
    <row r="37" spans="1:39">
      <c r="A37" s="19">
        <f t="shared" si="1"/>
        <v>10</v>
      </c>
      <c r="B37" s="32">
        <v>15</v>
      </c>
      <c r="C37" s="22">
        <v>13</v>
      </c>
      <c r="D37" s="22" t="s">
        <v>237</v>
      </c>
      <c r="E37" s="22"/>
      <c r="F37" s="22"/>
      <c r="G37" s="22" t="s">
        <v>240</v>
      </c>
      <c r="H37" s="22" t="s">
        <v>244</v>
      </c>
      <c r="I37" s="23"/>
      <c r="J37" s="27">
        <v>3</v>
      </c>
      <c r="K37" s="28">
        <v>2.8</v>
      </c>
      <c r="L37" s="28">
        <v>3.3</v>
      </c>
      <c r="M37" s="52">
        <v>1.7</v>
      </c>
      <c r="N37" s="52">
        <v>1.5</v>
      </c>
      <c r="O37" s="49">
        <v>1.8</v>
      </c>
      <c r="P37" s="49">
        <v>1.2</v>
      </c>
      <c r="Q37" s="49" t="s">
        <v>275</v>
      </c>
      <c r="R37" s="49" t="s">
        <v>274</v>
      </c>
      <c r="S37" s="25">
        <v>20.45</v>
      </c>
      <c r="T37" s="26">
        <f>(J37+K37+L37)+IF((VLOOKUP(Q37,MogulsDD!$A$1:$C$1000,3,FALSE)*(M37+O37)/2)&gt;3.75,3.75,VLOOKUP(Q37,MogulsDD!$A$1:$C$1000,3,FALSE)*(M37+O37)/2)+IF((VLOOKUP(R37,MogulsDD!$A$1:$C$1000,3,FALSE)*(N37+P37)/2)&gt;3.75,3.75,VLOOKUP(R37,MogulsDD!$A$1:$C$1000,3,FALSE)*(N37+P37)/2)+IF((18-12*S37/$J$5)&gt;7.5,7.5,IF((18-12*S37/$J$5)&lt;0,0,(18-12*S37/$J$5)))</f>
        <v>15.352510813887308</v>
      </c>
      <c r="U37" s="38"/>
      <c r="V37" s="38"/>
      <c r="W37" s="38"/>
      <c r="X37" s="38"/>
      <c r="Y37" s="39"/>
      <c r="Z37" s="38"/>
      <c r="AA37" s="38"/>
      <c r="AB37" s="38"/>
      <c r="AC37" s="38"/>
      <c r="AD37" s="39"/>
      <c r="AE37" s="38"/>
      <c r="AF37" s="38"/>
      <c r="AG37" s="38"/>
      <c r="AH37" s="38"/>
      <c r="AI37" s="39"/>
      <c r="AJ37" s="44"/>
      <c r="AK37" s="39"/>
      <c r="AL37" s="37"/>
      <c r="AM37" s="37"/>
    </row>
    <row r="38" spans="1:39">
      <c r="A38" s="19">
        <f t="shared" si="1"/>
        <v>11</v>
      </c>
      <c r="B38" s="32">
        <v>25</v>
      </c>
      <c r="C38" s="22">
        <v>11</v>
      </c>
      <c r="D38" s="22" t="s">
        <v>130</v>
      </c>
      <c r="E38" s="22"/>
      <c r="F38" s="22" t="s">
        <v>131</v>
      </c>
      <c r="G38" s="22" t="s">
        <v>122</v>
      </c>
      <c r="H38" s="22" t="s">
        <v>132</v>
      </c>
      <c r="I38" s="23" t="s">
        <v>133</v>
      </c>
      <c r="J38" s="27">
        <v>2.9</v>
      </c>
      <c r="K38" s="28">
        <v>2.8</v>
      </c>
      <c r="L38" s="28">
        <v>3.1</v>
      </c>
      <c r="M38" s="52">
        <v>1.7</v>
      </c>
      <c r="N38" s="52">
        <v>2</v>
      </c>
      <c r="O38" s="49">
        <v>1.6</v>
      </c>
      <c r="P38" s="49">
        <v>1.6</v>
      </c>
      <c r="Q38" s="49" t="s">
        <v>276</v>
      </c>
      <c r="R38" s="49" t="s">
        <v>274</v>
      </c>
      <c r="S38" s="25">
        <v>22.84</v>
      </c>
      <c r="T38" s="26">
        <f>(J38+K38+L38)+IF((VLOOKUP(Q38,MogulsDD!$A$1:$C$1000,3,FALSE)*(M38+O38)/2)&gt;3.75,3.75,VLOOKUP(Q38,MogulsDD!$A$1:$C$1000,3,FALSE)*(M38+O38)/2)+IF((VLOOKUP(R38,MogulsDD!$A$1:$C$1000,3,FALSE)*(N38+P38)/2)&gt;3.75,3.75,VLOOKUP(R38,MogulsDD!$A$1:$C$1000,3,FALSE)*(N38+P38)/2)+IF((18-12*S38/$J$5)&gt;7.5,7.5,IF((18-12*S38/$J$5)&lt;0,0,(18-12*S38/$J$5)))</f>
        <v>14.049182982356289</v>
      </c>
      <c r="U38" s="38"/>
      <c r="V38" s="38"/>
      <c r="W38" s="38"/>
      <c r="X38" s="38"/>
      <c r="Y38" s="39"/>
      <c r="Z38" s="38"/>
      <c r="AA38" s="38"/>
      <c r="AB38" s="38"/>
      <c r="AC38" s="38"/>
      <c r="AD38" s="39"/>
      <c r="AE38" s="38"/>
      <c r="AF38" s="38"/>
      <c r="AG38" s="38"/>
      <c r="AH38" s="38"/>
      <c r="AI38" s="39"/>
      <c r="AJ38" s="44"/>
      <c r="AK38" s="39"/>
      <c r="AL38" s="37"/>
      <c r="AM38" s="37"/>
    </row>
    <row r="39" spans="1:39" ht="13.8" thickBot="1">
      <c r="A39" s="19">
        <f t="shared" si="1"/>
        <v>12</v>
      </c>
      <c r="B39" s="13">
        <v>3</v>
      </c>
      <c r="C39" s="22">
        <v>19</v>
      </c>
      <c r="D39" s="14" t="s">
        <v>156</v>
      </c>
      <c r="E39" s="22">
        <v>2532116</v>
      </c>
      <c r="F39" s="14" t="s">
        <v>157</v>
      </c>
      <c r="G39" s="14" t="s">
        <v>122</v>
      </c>
      <c r="H39" s="14" t="s">
        <v>158</v>
      </c>
      <c r="I39" s="18" t="s">
        <v>128</v>
      </c>
      <c r="J39" s="29">
        <v>0</v>
      </c>
      <c r="K39" s="30">
        <v>0</v>
      </c>
      <c r="L39" s="30">
        <v>0</v>
      </c>
      <c r="M39" s="53">
        <v>0</v>
      </c>
      <c r="N39" s="53">
        <v>0</v>
      </c>
      <c r="O39" s="50">
        <v>0</v>
      </c>
      <c r="P39" s="50">
        <v>0</v>
      </c>
      <c r="Q39" s="49" t="s">
        <v>63</v>
      </c>
      <c r="R39" s="49" t="s">
        <v>63</v>
      </c>
      <c r="S39" s="25">
        <v>9999</v>
      </c>
      <c r="T39" s="26">
        <f>(J39+K39+L39)+IF((VLOOKUP(Q39,MogulsDD!$A$1:$C$1000,3,FALSE)*(M39+O39)/2)&gt;3.75,3.75,VLOOKUP(Q39,MogulsDD!$A$1:$C$1000,3,FALSE)*(M39+O39)/2)+IF((VLOOKUP(R39,MogulsDD!$A$1:$C$1000,3,FALSE)*(N39+P39)/2)&gt;3.75,3.75,VLOOKUP(R39,MogulsDD!$A$1:$C$1000,3,FALSE)*(N39+P39)/2)+IF((18-12*S39/$J$5)&gt;7.5,7.5,IF((18-12*S39/$J$5)&lt;0,0,(18-12*S39/$J$5)))</f>
        <v>0</v>
      </c>
      <c r="U39" s="38"/>
      <c r="V39" s="38"/>
      <c r="W39" s="38"/>
      <c r="X39" s="38"/>
      <c r="Y39" s="39"/>
      <c r="Z39" s="38"/>
      <c r="AA39" s="38"/>
      <c r="AB39" s="38"/>
      <c r="AC39" s="38"/>
      <c r="AD39" s="39"/>
      <c r="AE39" s="38"/>
      <c r="AF39" s="38"/>
      <c r="AG39" s="38"/>
      <c r="AH39" s="38"/>
      <c r="AI39" s="39"/>
      <c r="AJ39" s="44"/>
      <c r="AK39" s="39"/>
      <c r="AL39" s="37"/>
      <c r="AM39" s="37"/>
    </row>
    <row r="40" spans="1:39"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7"/>
      <c r="AM40" s="37"/>
    </row>
    <row r="41" spans="1:39"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7"/>
      <c r="AM41" s="37"/>
    </row>
    <row r="42" spans="1:39"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7"/>
      <c r="AM42" s="37"/>
    </row>
    <row r="43" spans="1:39"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7"/>
      <c r="AM43" s="37"/>
    </row>
    <row r="44" spans="1:39"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7"/>
      <c r="AM44" s="37"/>
    </row>
    <row r="45" spans="1:39"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7"/>
      <c r="AM45" s="37"/>
    </row>
    <row r="46" spans="1:39"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7"/>
      <c r="AM46" s="37"/>
    </row>
    <row r="47" spans="1:39"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7"/>
      <c r="AM47" s="37"/>
    </row>
    <row r="48" spans="1:39"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7"/>
      <c r="AM48" s="37"/>
    </row>
    <row r="49" spans="21:39"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7"/>
      <c r="AM49" s="37"/>
    </row>
    <row r="50" spans="21:39"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7"/>
      <c r="AM50" s="37"/>
    </row>
    <row r="51" spans="21:39"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7"/>
      <c r="AM51" s="37"/>
    </row>
    <row r="52" spans="21:39"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7"/>
      <c r="AM52" s="37"/>
    </row>
    <row r="53" spans="21:39"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7"/>
      <c r="AM53" s="37"/>
    </row>
    <row r="54" spans="21:39"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7"/>
      <c r="AM54" s="37"/>
    </row>
    <row r="55" spans="21:39"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7"/>
      <c r="AM55" s="37"/>
    </row>
    <row r="56" spans="21:39"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7"/>
      <c r="AM56" s="37"/>
    </row>
    <row r="57" spans="21:39"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7"/>
      <c r="AM57" s="37"/>
    </row>
    <row r="58" spans="21:39"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7"/>
      <c r="AM58" s="37"/>
    </row>
    <row r="59" spans="21:39"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7"/>
      <c r="AM59" s="37"/>
    </row>
    <row r="60" spans="21:39"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</row>
    <row r="61" spans="21:39"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</row>
    <row r="62" spans="21:39"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</row>
    <row r="63" spans="21:39"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</row>
    <row r="64" spans="21:39"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</row>
    <row r="65" spans="21:39"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</row>
    <row r="66" spans="21:39"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</row>
    <row r="67" spans="21:39"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</row>
    <row r="68" spans="21:39"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</row>
    <row r="69" spans="21:39"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</row>
    <row r="70" spans="21:39"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</row>
    <row r="71" spans="21:39"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</row>
    <row r="72" spans="21:39"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</row>
    <row r="73" spans="21:39"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</row>
    <row r="74" spans="21:39"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</row>
    <row r="75" spans="21:39"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</row>
    <row r="76" spans="21:39"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</row>
    <row r="77" spans="21:39"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</row>
    <row r="78" spans="21:39"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</row>
    <row r="79" spans="21:39"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</row>
    <row r="80" spans="21:39"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</row>
    <row r="81" spans="21:39"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</row>
  </sheetData>
  <sortState ref="B28:T39">
    <sortCondition descending="1" ref="T28:T39"/>
  </sortState>
  <mergeCells count="12">
    <mergeCell ref="A7:B7"/>
    <mergeCell ref="C7:F7"/>
    <mergeCell ref="A8:B8"/>
    <mergeCell ref="C8:F8"/>
    <mergeCell ref="A9:B9"/>
    <mergeCell ref="C9:F9"/>
    <mergeCell ref="A1:I1"/>
    <mergeCell ref="A2:I2"/>
    <mergeCell ref="A5:B5"/>
    <mergeCell ref="C5:F5"/>
    <mergeCell ref="A6:B6"/>
    <mergeCell ref="C6:F6"/>
  </mergeCells>
  <hyperlinks>
    <hyperlink ref="J2" r:id="rId1" display="http://data.fis-ski.com/dynamic/event-details.html?event_id=36203&amp;cal_suchsector=FS"/>
    <hyperlink ref="L2" r:id="rId2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P93"/>
  <sheetViews>
    <sheetView workbookViewId="0">
      <selection sqref="A1:XFD1048576"/>
    </sheetView>
  </sheetViews>
  <sheetFormatPr defaultColWidth="11.44140625" defaultRowHeight="13.2"/>
  <cols>
    <col min="2" max="2" width="8.109375" customWidth="1"/>
    <col min="3" max="3" width="7" customWidth="1"/>
    <col min="4" max="4" width="22" customWidth="1"/>
    <col min="5" max="5" width="10" customWidth="1"/>
    <col min="6" max="6" width="11.109375" customWidth="1"/>
    <col min="8" max="8" width="16.6640625" bestFit="1" customWidth="1"/>
    <col min="9" max="9" width="10.6640625" customWidth="1"/>
  </cols>
  <sheetData>
    <row r="1" spans="1:42" ht="24.6">
      <c r="A1" s="159"/>
      <c r="B1" s="159"/>
      <c r="C1" s="159"/>
      <c r="D1" s="159"/>
      <c r="E1" s="159"/>
      <c r="F1" s="159"/>
      <c r="G1" s="159"/>
      <c r="H1" s="159"/>
      <c r="I1" s="15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2" ht="17.399999999999999">
      <c r="A2" s="160" t="s">
        <v>227</v>
      </c>
      <c r="B2" s="160"/>
      <c r="C2" s="160"/>
      <c r="D2" s="160"/>
      <c r="E2" s="160"/>
      <c r="F2" s="160"/>
      <c r="G2" s="160"/>
      <c r="H2" s="160"/>
      <c r="I2" s="160"/>
      <c r="J2" s="95" t="s">
        <v>198</v>
      </c>
      <c r="K2" s="1"/>
      <c r="L2" s="95" t="s">
        <v>197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42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42" ht="13.8" thickBot="1">
      <c r="A4" s="7"/>
      <c r="B4" s="1"/>
      <c r="C4" s="1"/>
      <c r="D4" s="1"/>
      <c r="E4" s="1"/>
      <c r="F4" s="1"/>
      <c r="G4" s="1"/>
      <c r="H4" s="1"/>
      <c r="I4" s="1"/>
      <c r="J4" s="1" t="s">
        <v>152</v>
      </c>
      <c r="K4" s="1" t="s">
        <v>151</v>
      </c>
      <c r="L4" s="1"/>
      <c r="M4" s="1" t="s">
        <v>11</v>
      </c>
      <c r="N4" s="1" t="s">
        <v>219</v>
      </c>
      <c r="O4" s="1"/>
      <c r="P4" s="1" t="s">
        <v>216</v>
      </c>
      <c r="Q4" s="1" t="s">
        <v>224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42">
      <c r="A5" s="161" t="s">
        <v>6</v>
      </c>
      <c r="B5" s="162"/>
      <c r="C5" s="163" t="s">
        <v>255</v>
      </c>
      <c r="D5" s="164"/>
      <c r="E5" s="164"/>
      <c r="F5" s="165"/>
      <c r="G5" s="1"/>
      <c r="H5" s="1"/>
      <c r="I5" s="36" t="s">
        <v>69</v>
      </c>
      <c r="J5" s="1">
        <v>17.57</v>
      </c>
      <c r="K5" s="1">
        <v>20.71</v>
      </c>
      <c r="L5" s="1"/>
      <c r="M5" s="1" t="s">
        <v>12</v>
      </c>
      <c r="N5" s="1" t="s">
        <v>220</v>
      </c>
      <c r="O5" s="1"/>
      <c r="P5" s="1" t="s">
        <v>217</v>
      </c>
      <c r="Q5" s="1" t="s">
        <v>222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42">
      <c r="A6" s="149" t="s">
        <v>7</v>
      </c>
      <c r="B6" s="150"/>
      <c r="C6" s="151" t="s">
        <v>230</v>
      </c>
      <c r="D6" s="152"/>
      <c r="E6" s="152"/>
      <c r="F6" s="153"/>
      <c r="G6" s="1"/>
      <c r="H6" s="1"/>
      <c r="I6" s="1"/>
      <c r="J6" s="1"/>
      <c r="K6" s="1"/>
      <c r="L6" s="1"/>
      <c r="M6" s="1" t="s">
        <v>15</v>
      </c>
      <c r="N6" s="1" t="s">
        <v>221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42">
      <c r="A7" s="149" t="s">
        <v>8</v>
      </c>
      <c r="B7" s="150"/>
      <c r="C7" s="151" t="s">
        <v>242</v>
      </c>
      <c r="D7" s="152"/>
      <c r="E7" s="152"/>
      <c r="F7" s="153"/>
      <c r="G7" s="1"/>
      <c r="H7" s="1"/>
      <c r="I7" s="101" t="s">
        <v>289</v>
      </c>
      <c r="J7" s="1"/>
      <c r="K7" s="1"/>
      <c r="L7" s="1"/>
      <c r="M7" s="1" t="s">
        <v>214</v>
      </c>
      <c r="N7" s="1" t="s">
        <v>222</v>
      </c>
      <c r="O7" s="1"/>
      <c r="P7" s="1" t="s">
        <v>225</v>
      </c>
      <c r="Q7" s="1" t="s">
        <v>226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42">
      <c r="A8" s="149" t="s">
        <v>9</v>
      </c>
      <c r="B8" s="150"/>
      <c r="C8" s="151" t="s">
        <v>104</v>
      </c>
      <c r="D8" s="152"/>
      <c r="E8" s="152"/>
      <c r="F8" s="153"/>
      <c r="G8" s="1"/>
      <c r="H8" s="1"/>
      <c r="I8" s="102" t="s">
        <v>290</v>
      </c>
      <c r="J8" s="1"/>
      <c r="K8" s="1"/>
      <c r="L8" s="1"/>
      <c r="M8" s="1" t="s">
        <v>215</v>
      </c>
      <c r="N8" s="1" t="s">
        <v>223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42" ht="13.8" thickBot="1">
      <c r="A9" s="154" t="s">
        <v>10</v>
      </c>
      <c r="B9" s="155"/>
      <c r="C9" s="156" t="s">
        <v>105</v>
      </c>
      <c r="D9" s="157"/>
      <c r="E9" s="157"/>
      <c r="F9" s="15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37"/>
      <c r="AO9" s="37"/>
      <c r="AP9" s="37"/>
    </row>
    <row r="10" spans="1:42" ht="13.8" thickBot="1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9"/>
      <c r="AO10" s="37"/>
      <c r="AP10" s="37"/>
    </row>
    <row r="11" spans="1:42" ht="13.8" thickBot="1">
      <c r="A11" s="8"/>
      <c r="B11" s="5"/>
      <c r="C11" s="5"/>
      <c r="D11" s="5"/>
      <c r="E11" s="20" t="s">
        <v>256</v>
      </c>
      <c r="F11" s="5"/>
      <c r="G11" s="5"/>
      <c r="H11" s="5"/>
      <c r="I11" s="6"/>
      <c r="J11" s="21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45"/>
      <c r="X11" s="38"/>
      <c r="Y11" s="38"/>
      <c r="Z11" s="38"/>
      <c r="AA11" s="38"/>
      <c r="AB11" s="38"/>
      <c r="AC11" s="38"/>
      <c r="AD11" s="38"/>
      <c r="AE11" s="38"/>
      <c r="AF11" s="38"/>
      <c r="AG11" s="40"/>
      <c r="AH11" s="38"/>
      <c r="AI11" s="38"/>
      <c r="AJ11" s="38"/>
      <c r="AK11" s="38"/>
      <c r="AL11" s="40"/>
      <c r="AM11" s="38"/>
      <c r="AN11" s="39"/>
      <c r="AO11" s="37"/>
      <c r="AP11" s="37"/>
    </row>
    <row r="12" spans="1:42" ht="13.8" thickBot="1">
      <c r="A12" s="2" t="s">
        <v>0</v>
      </c>
      <c r="B12" s="3" t="s">
        <v>1</v>
      </c>
      <c r="C12" s="3" t="s">
        <v>252</v>
      </c>
      <c r="D12" s="3" t="s">
        <v>111</v>
      </c>
      <c r="E12" s="3" t="s">
        <v>238</v>
      </c>
      <c r="F12" s="3" t="s">
        <v>16</v>
      </c>
      <c r="G12" s="3" t="s">
        <v>3</v>
      </c>
      <c r="H12" s="3" t="s">
        <v>4</v>
      </c>
      <c r="I12" s="4" t="s">
        <v>5</v>
      </c>
      <c r="J12" s="2" t="s">
        <v>11</v>
      </c>
      <c r="K12" s="3" t="s">
        <v>12</v>
      </c>
      <c r="L12" s="3" t="s">
        <v>13</v>
      </c>
      <c r="M12" s="3" t="s">
        <v>66</v>
      </c>
      <c r="N12" s="3" t="s">
        <v>65</v>
      </c>
      <c r="O12" s="3" t="s">
        <v>67</v>
      </c>
      <c r="P12" s="3" t="s">
        <v>68</v>
      </c>
      <c r="Q12" s="3" t="s">
        <v>59</v>
      </c>
      <c r="R12" s="3" t="s">
        <v>60</v>
      </c>
      <c r="S12" s="3" t="s">
        <v>22</v>
      </c>
      <c r="T12" s="3" t="s">
        <v>314</v>
      </c>
      <c r="U12" s="3" t="s">
        <v>315</v>
      </c>
      <c r="V12" s="3" t="s">
        <v>316</v>
      </c>
      <c r="W12" s="46" t="s">
        <v>14</v>
      </c>
      <c r="X12" s="41"/>
      <c r="Y12" s="41"/>
      <c r="Z12" s="41"/>
      <c r="AA12" s="41"/>
      <c r="AB12" s="42"/>
      <c r="AC12" s="41"/>
      <c r="AD12" s="41"/>
      <c r="AE12" s="41"/>
      <c r="AF12" s="41"/>
      <c r="AG12" s="42"/>
      <c r="AH12" s="41"/>
      <c r="AI12" s="41"/>
      <c r="AJ12" s="41"/>
      <c r="AK12" s="41"/>
      <c r="AL12" s="42"/>
      <c r="AM12" s="43"/>
      <c r="AN12" s="39"/>
      <c r="AO12" s="37"/>
      <c r="AP12" s="37"/>
    </row>
    <row r="13" spans="1:42">
      <c r="A13" s="19">
        <f>RANK(W13,$W$13:$W$18,0)</f>
        <v>1</v>
      </c>
      <c r="B13" s="22">
        <v>134</v>
      </c>
      <c r="C13" s="22">
        <v>12</v>
      </c>
      <c r="D13" s="22" t="s">
        <v>236</v>
      </c>
      <c r="E13" s="22">
        <v>2528719</v>
      </c>
      <c r="F13" s="22"/>
      <c r="G13" s="22" t="s">
        <v>240</v>
      </c>
      <c r="H13" s="22" t="s">
        <v>251</v>
      </c>
      <c r="I13" s="23"/>
      <c r="J13" s="24">
        <v>4.0999999999999996</v>
      </c>
      <c r="K13" s="25">
        <v>4</v>
      </c>
      <c r="L13" s="25">
        <v>4.2</v>
      </c>
      <c r="M13" s="51">
        <v>2.1</v>
      </c>
      <c r="N13" s="51">
        <v>2.1</v>
      </c>
      <c r="O13" s="49">
        <v>2</v>
      </c>
      <c r="P13" s="49">
        <v>2.1</v>
      </c>
      <c r="Q13" s="49" t="s">
        <v>276</v>
      </c>
      <c r="R13" s="49" t="s">
        <v>61</v>
      </c>
      <c r="S13" s="25">
        <v>21.34</v>
      </c>
      <c r="T13" s="143">
        <f>(J13+K13+L13)</f>
        <v>12.3</v>
      </c>
      <c r="U13" s="143">
        <f>IF((VLOOKUP(Q13,MogulsDD!$A$1:$D$1000,4,FALSE)*(M13+O13)/2)&gt;3.75,3.75,VLOOKUP(Q13,MogulsDD!$A$1:$D$1000,4,FALSE)*(M13+O13)/2)+IF((VLOOKUP(R13,MogulsDD!$A$1:$D$1000,4,FALSE)*(N13+P13)/2)&gt;3.75,3.75,VLOOKUP(R13,MogulsDD!$A$1:$D$1000,4,FALSE)*(N13+P13)/2)</f>
        <v>4.9799999999999995</v>
      </c>
      <c r="V13" s="143">
        <f>IF((18-12*S13/$K$5)&gt;7.5,7.5,IF((18-12*S13/$K$5)&lt;0,0,(18-12*S13/$K$5)))</f>
        <v>5.6349589570255922</v>
      </c>
      <c r="W13" s="144">
        <f>(J13+K13+L13)+IF((VLOOKUP(Q13,MogulsDD!$A$1:$D$1000,4,FALSE)*(M13+O13)/2)&gt;3.75,3.75,VLOOKUP(Q13,MogulsDD!$A$1:$D$1000,4,FALSE)*(M13+O13)/2)+IF((VLOOKUP(R13,MogulsDD!$A$1:$D$1000,4,FALSE)*(N13+P13)/2)&gt;3.75,3.75,VLOOKUP(R13,MogulsDD!$A$1:$D$1000,4,FALSE)*(N13+P13)/2)+IF((18-12*S13/$K$5)&gt;7.5,7.5,IF((18-12*S13/$K$5)&lt;0,0,(18-12*S13/$K$5)))</f>
        <v>22.914958957025593</v>
      </c>
      <c r="X13" s="38"/>
      <c r="Y13" s="38"/>
      <c r="Z13" s="38"/>
      <c r="AA13" s="38"/>
      <c r="AB13" s="39"/>
      <c r="AC13" s="38"/>
      <c r="AD13" s="38"/>
      <c r="AE13" s="38"/>
      <c r="AF13" s="38"/>
      <c r="AG13" s="39"/>
      <c r="AH13" s="38"/>
      <c r="AI13" s="38"/>
      <c r="AJ13" s="38"/>
      <c r="AK13" s="38"/>
      <c r="AL13" s="39"/>
      <c r="AM13" s="44"/>
      <c r="AN13" s="39"/>
      <c r="AO13" s="37"/>
      <c r="AP13" s="37"/>
    </row>
    <row r="14" spans="1:42">
      <c r="A14" s="19">
        <f t="shared" ref="A14:A18" si="0">RANK(W14,$W$13:$W$18,0)</f>
        <v>2</v>
      </c>
      <c r="B14" s="22">
        <v>61</v>
      </c>
      <c r="C14" s="22">
        <v>7</v>
      </c>
      <c r="D14" s="22" t="s">
        <v>176</v>
      </c>
      <c r="E14" s="22">
        <v>2531087</v>
      </c>
      <c r="F14" s="22" t="s">
        <v>173</v>
      </c>
      <c r="G14" s="22" t="s">
        <v>239</v>
      </c>
      <c r="H14" s="22" t="s">
        <v>177</v>
      </c>
      <c r="I14" s="23" t="s">
        <v>178</v>
      </c>
      <c r="J14" s="27">
        <v>3.6</v>
      </c>
      <c r="K14" s="28">
        <v>3.3</v>
      </c>
      <c r="L14" s="28">
        <v>3.5</v>
      </c>
      <c r="M14" s="52">
        <v>1.8</v>
      </c>
      <c r="N14" s="52">
        <v>1.7</v>
      </c>
      <c r="O14" s="49">
        <v>1.9</v>
      </c>
      <c r="P14" s="49">
        <v>1.8</v>
      </c>
      <c r="Q14" s="49" t="s">
        <v>275</v>
      </c>
      <c r="R14" s="49" t="s">
        <v>279</v>
      </c>
      <c r="S14" s="25">
        <v>19.25</v>
      </c>
      <c r="T14" s="143">
        <f t="shared" ref="T14:T26" si="1">(J14+K14+L14)</f>
        <v>10.4</v>
      </c>
      <c r="U14" s="143">
        <f>IF((VLOOKUP(Q14,MogulsDD!$A$1:$D$1000,4,FALSE)*(M14+O14)/2)&gt;3.75,3.75,VLOOKUP(Q14,MogulsDD!$A$1:$D$1000,4,FALSE)*(M14+O14)/2)+IF((VLOOKUP(R14,MogulsDD!$A$1:$D$1000,4,FALSE)*(N14+P14)/2)&gt;3.75,3.75,VLOOKUP(R14,MogulsDD!$A$1:$D$1000,4,FALSE)*(N14+P14)/2)</f>
        <v>3.069</v>
      </c>
      <c r="V14" s="143">
        <f t="shared" ref="V14:V26" si="2">IF((18-12*S14/$K$5)&gt;7.5,7.5,IF((18-12*S14/$K$5)&lt;0,0,(18-12*S14/$K$5)))</f>
        <v>6.8459681313375178</v>
      </c>
      <c r="W14" s="144">
        <f>(J14+K14+L14)+IF((VLOOKUP(Q14,MogulsDD!$A$1:$D$1000,4,FALSE)*(M14+O14)/2)&gt;3.75,3.75,VLOOKUP(Q14,MogulsDD!$A$1:$D$1000,4,FALSE)*(M14+O14)/2)+IF((VLOOKUP(R14,MogulsDD!$A$1:$D$1000,4,FALSE)*(N14+P14)/2)&gt;3.75,3.75,VLOOKUP(R14,MogulsDD!$A$1:$D$1000,4,FALSE)*(N14+P14)/2)+IF((18-12*S14/$K$5)&gt;7.5,7.5,IF((18-12*S14/$K$5)&lt;0,0,(18-12*S14/$K$5)))</f>
        <v>20.314968131337515</v>
      </c>
      <c r="X14" s="38"/>
      <c r="Y14" s="38"/>
      <c r="Z14" s="38"/>
      <c r="AA14" s="38"/>
      <c r="AB14" s="39"/>
      <c r="AC14" s="38"/>
      <c r="AD14" s="38"/>
      <c r="AE14" s="38"/>
      <c r="AF14" s="38"/>
      <c r="AG14" s="39"/>
      <c r="AH14" s="38"/>
      <c r="AI14" s="38"/>
      <c r="AJ14" s="38"/>
      <c r="AK14" s="38"/>
      <c r="AL14" s="39"/>
      <c r="AM14" s="44"/>
      <c r="AN14" s="39"/>
      <c r="AO14" s="37"/>
      <c r="AP14" s="37"/>
    </row>
    <row r="15" spans="1:42">
      <c r="A15" s="19">
        <f t="shared" si="0"/>
        <v>3</v>
      </c>
      <c r="B15" s="22">
        <v>38</v>
      </c>
      <c r="C15" s="22">
        <v>3</v>
      </c>
      <c r="D15" s="22" t="s">
        <v>179</v>
      </c>
      <c r="E15" s="22">
        <v>2530095</v>
      </c>
      <c r="F15" s="22" t="s">
        <v>173</v>
      </c>
      <c r="G15" s="22" t="s">
        <v>239</v>
      </c>
      <c r="H15" s="22" t="s">
        <v>180</v>
      </c>
      <c r="I15" s="23" t="s">
        <v>181</v>
      </c>
      <c r="J15" s="27">
        <v>3.5</v>
      </c>
      <c r="K15" s="28">
        <v>3.6</v>
      </c>
      <c r="L15" s="28">
        <v>3.4</v>
      </c>
      <c r="M15" s="52">
        <v>1.7</v>
      </c>
      <c r="N15" s="52">
        <v>1.8</v>
      </c>
      <c r="O15" s="49">
        <v>1.7</v>
      </c>
      <c r="P15" s="49">
        <v>1.7</v>
      </c>
      <c r="Q15" s="49" t="s">
        <v>273</v>
      </c>
      <c r="R15" s="49" t="s">
        <v>279</v>
      </c>
      <c r="S15" s="25">
        <v>19.57</v>
      </c>
      <c r="T15" s="143">
        <f t="shared" si="1"/>
        <v>10.5</v>
      </c>
      <c r="U15" s="143">
        <f>IF((VLOOKUP(Q15,MogulsDD!$A$1:$D$1000,4,FALSE)*(M15+O15)/2)&gt;3.75,3.75,VLOOKUP(Q15,MogulsDD!$A$1:$D$1000,4,FALSE)*(M15+O15)/2)+IF((VLOOKUP(R15,MogulsDD!$A$1:$D$1000,4,FALSE)*(N15+P15)/2)&gt;3.75,3.75,VLOOKUP(R15,MogulsDD!$A$1:$D$1000,4,FALSE)*(N15+P15)/2)</f>
        <v>2.8600000000000003</v>
      </c>
      <c r="V15" s="143">
        <f t="shared" si="2"/>
        <v>6.6605504587155959</v>
      </c>
      <c r="W15" s="144">
        <f>(J15+K15+L15)+IF((VLOOKUP(Q15,MogulsDD!$A$1:$D$1000,4,FALSE)*(M15+O15)/2)&gt;3.75,3.75,VLOOKUP(Q15,MogulsDD!$A$1:$D$1000,4,FALSE)*(M15+O15)/2)+IF((VLOOKUP(R15,MogulsDD!$A$1:$D$1000,4,FALSE)*(N15+P15)/2)&gt;3.75,3.75,VLOOKUP(R15,MogulsDD!$A$1:$D$1000,4,FALSE)*(N15+P15)/2)+IF((18-12*S15/$K$5)&gt;7.5,7.5,IF((18-12*S15/$K$5)&lt;0,0,(18-12*S15/$K$5)))</f>
        <v>20.020550458715597</v>
      </c>
      <c r="X15" s="38"/>
      <c r="Y15" s="38"/>
      <c r="Z15" s="38"/>
      <c r="AA15" s="38"/>
      <c r="AB15" s="39"/>
      <c r="AC15" s="38"/>
      <c r="AD15" s="38"/>
      <c r="AE15" s="38"/>
      <c r="AF15" s="38"/>
      <c r="AG15" s="39"/>
      <c r="AH15" s="38"/>
      <c r="AI15" s="38"/>
      <c r="AJ15" s="38"/>
      <c r="AK15" s="38"/>
      <c r="AL15" s="39"/>
      <c r="AM15" s="44"/>
      <c r="AN15" s="39"/>
      <c r="AO15" s="37"/>
      <c r="AP15" s="37"/>
    </row>
    <row r="16" spans="1:42">
      <c r="A16" s="19">
        <f t="shared" si="0"/>
        <v>4</v>
      </c>
      <c r="B16" s="22">
        <v>113</v>
      </c>
      <c r="C16" s="22">
        <v>1</v>
      </c>
      <c r="D16" s="22" t="s">
        <v>235</v>
      </c>
      <c r="E16" s="22"/>
      <c r="F16" s="22"/>
      <c r="G16" s="22" t="s">
        <v>240</v>
      </c>
      <c r="H16" s="99" t="s">
        <v>250</v>
      </c>
      <c r="I16" s="23"/>
      <c r="J16" s="27">
        <v>3.2</v>
      </c>
      <c r="K16" s="28">
        <v>3.2</v>
      </c>
      <c r="L16" s="28">
        <v>3.3</v>
      </c>
      <c r="M16" s="52">
        <v>1.9</v>
      </c>
      <c r="N16" s="52">
        <v>1.7</v>
      </c>
      <c r="O16" s="49">
        <v>1.8</v>
      </c>
      <c r="P16" s="49">
        <v>1.7</v>
      </c>
      <c r="Q16" s="49" t="s">
        <v>274</v>
      </c>
      <c r="R16" s="49" t="s">
        <v>276</v>
      </c>
      <c r="S16" s="25">
        <v>21.29</v>
      </c>
      <c r="T16" s="143">
        <f t="shared" si="1"/>
        <v>9.6999999999999993</v>
      </c>
      <c r="U16" s="143">
        <f>IF((VLOOKUP(Q16,MogulsDD!$A$1:$D$1000,4,FALSE)*(M16+O16)/2)&gt;3.75,3.75,VLOOKUP(Q16,MogulsDD!$A$1:$D$1000,4,FALSE)*(M16+O16)/2)+IF((VLOOKUP(R16,MogulsDD!$A$1:$D$1000,4,FALSE)*(N16+P16)/2)&gt;3.75,3.75,VLOOKUP(R16,MogulsDD!$A$1:$D$1000,4,FALSE)*(N16+P16)/2)</f>
        <v>3.4645000000000001</v>
      </c>
      <c r="V16" s="143">
        <f t="shared" si="2"/>
        <v>5.6639304683727669</v>
      </c>
      <c r="W16" s="144">
        <f>(J16+K16+L16)+IF((VLOOKUP(Q16,MogulsDD!$A$1:$D$1000,4,FALSE)*(M16+O16)/2)&gt;3.75,3.75,VLOOKUP(Q16,MogulsDD!$A$1:$D$1000,4,FALSE)*(M16+O16)/2)+IF((VLOOKUP(R16,MogulsDD!$A$1:$D$1000,4,FALSE)*(N16+P16)/2)&gt;3.75,3.75,VLOOKUP(R16,MogulsDD!$A$1:$D$1000,4,FALSE)*(N16+P16)/2)+IF((18-12*S16/$K$5)&gt;7.5,7.5,IF((18-12*S16/$K$5)&lt;0,0,(18-12*S16/$K$5)))</f>
        <v>18.828430468372765</v>
      </c>
      <c r="X16" s="38"/>
      <c r="Y16" s="38"/>
      <c r="Z16" s="38"/>
      <c r="AA16" s="38"/>
      <c r="AB16" s="39"/>
      <c r="AC16" s="38"/>
      <c r="AD16" s="38"/>
      <c r="AE16" s="38"/>
      <c r="AF16" s="38"/>
      <c r="AG16" s="39"/>
      <c r="AH16" s="38"/>
      <c r="AI16" s="38"/>
      <c r="AJ16" s="38"/>
      <c r="AK16" s="38"/>
      <c r="AL16" s="39"/>
      <c r="AM16" s="44"/>
      <c r="AN16" s="39"/>
      <c r="AO16" s="37"/>
      <c r="AP16" s="37"/>
    </row>
    <row r="17" spans="1:42">
      <c r="A17" s="19">
        <f t="shared" si="0"/>
        <v>5</v>
      </c>
      <c r="B17" s="22">
        <v>86</v>
      </c>
      <c r="C17" s="22">
        <v>8</v>
      </c>
      <c r="D17" s="22" t="s">
        <v>233</v>
      </c>
      <c r="E17" s="22"/>
      <c r="F17" s="22"/>
      <c r="G17" s="22" t="s">
        <v>240</v>
      </c>
      <c r="H17" s="22" t="s">
        <v>248</v>
      </c>
      <c r="I17" s="23"/>
      <c r="J17" s="27">
        <v>1.6</v>
      </c>
      <c r="K17" s="28">
        <v>1.6</v>
      </c>
      <c r="L17" s="28">
        <v>1.4</v>
      </c>
      <c r="M17" s="52">
        <v>1.9</v>
      </c>
      <c r="N17" s="52">
        <v>0</v>
      </c>
      <c r="O17" s="49">
        <v>1.8</v>
      </c>
      <c r="P17" s="49">
        <v>0</v>
      </c>
      <c r="Q17" s="54" t="s">
        <v>276</v>
      </c>
      <c r="R17" s="54" t="s">
        <v>63</v>
      </c>
      <c r="S17" s="25">
        <v>28.38</v>
      </c>
      <c r="T17" s="143">
        <f t="shared" si="1"/>
        <v>4.5999999999999996</v>
      </c>
      <c r="U17" s="143">
        <f>IF((VLOOKUP(Q17,MogulsDD!$A$1:$D$1000,4,FALSE)*(M17+O17)/2)&gt;3.75,3.75,VLOOKUP(Q17,MogulsDD!$A$1:$D$1000,4,FALSE)*(M17+O17)/2)+IF((VLOOKUP(R17,MogulsDD!$A$1:$D$1000,4,FALSE)*(N17+P17)/2)&gt;3.75,3.75,VLOOKUP(R17,MogulsDD!$A$1:$D$1000,4,FALSE)*(N17+P17)/2)</f>
        <v>2.2200000000000002</v>
      </c>
      <c r="V17" s="143">
        <f t="shared" si="2"/>
        <v>1.5557701593433144</v>
      </c>
      <c r="W17" s="144">
        <f>(J17+K17+L17)+IF((VLOOKUP(Q17,MogulsDD!$A$1:$D$1000,4,FALSE)*(M17+O17)/2)&gt;3.75,3.75,VLOOKUP(Q17,MogulsDD!$A$1:$D$1000,4,FALSE)*(M17+O17)/2)+IF((VLOOKUP(R17,MogulsDD!$A$1:$D$1000,4,FALSE)*(N17+P17)/2)&gt;3.75,3.75,VLOOKUP(R17,MogulsDD!$A$1:$D$1000,4,FALSE)*(N17+P17)/2)+IF((18-12*S17/$K$5)&gt;7.5,7.5,IF((18-12*S17/$K$5)&lt;0,0,(18-12*S17/$K$5)))</f>
        <v>8.3757701593433147</v>
      </c>
      <c r="X17" s="38"/>
      <c r="Y17" s="38"/>
      <c r="Z17" s="38"/>
      <c r="AA17" s="38"/>
      <c r="AB17" s="39"/>
      <c r="AC17" s="38"/>
      <c r="AD17" s="38"/>
      <c r="AE17" s="38"/>
      <c r="AF17" s="38"/>
      <c r="AG17" s="39"/>
      <c r="AH17" s="38"/>
      <c r="AI17" s="38"/>
      <c r="AJ17" s="38"/>
      <c r="AK17" s="38"/>
      <c r="AL17" s="39"/>
      <c r="AM17" s="44"/>
      <c r="AN17" s="39"/>
      <c r="AO17" s="37"/>
      <c r="AP17" s="37"/>
    </row>
    <row r="18" spans="1:42" ht="13.8" thickBot="1">
      <c r="A18" s="19">
        <f t="shared" si="0"/>
        <v>6</v>
      </c>
      <c r="B18" s="14">
        <v>85</v>
      </c>
      <c r="C18" s="22">
        <v>4</v>
      </c>
      <c r="D18" s="14" t="s">
        <v>212</v>
      </c>
      <c r="E18" s="22">
        <v>2532171</v>
      </c>
      <c r="F18" s="14" t="s">
        <v>206</v>
      </c>
      <c r="G18" s="14" t="s">
        <v>207</v>
      </c>
      <c r="H18" s="14" t="s">
        <v>245</v>
      </c>
      <c r="I18" s="18" t="s">
        <v>213</v>
      </c>
      <c r="J18" s="29">
        <v>0.1</v>
      </c>
      <c r="K18" s="30">
        <v>0.1</v>
      </c>
      <c r="L18" s="30">
        <v>0.1</v>
      </c>
      <c r="M18" s="53">
        <v>0.1</v>
      </c>
      <c r="N18" s="53">
        <v>0.1</v>
      </c>
      <c r="O18" s="50">
        <v>0.1</v>
      </c>
      <c r="P18" s="50">
        <v>0.1</v>
      </c>
      <c r="Q18" s="49" t="s">
        <v>61</v>
      </c>
      <c r="R18" s="49" t="s">
        <v>272</v>
      </c>
      <c r="S18" s="25">
        <v>33.76</v>
      </c>
      <c r="T18" s="143">
        <f t="shared" si="1"/>
        <v>0.30000000000000004</v>
      </c>
      <c r="U18" s="143">
        <f>IF((VLOOKUP(Q18,MogulsDD!$A$1:$D$1000,4,FALSE)*(M18+O18)/2)&gt;3.75,3.75,VLOOKUP(Q18,MogulsDD!$A$1:$D$1000,4,FALSE)*(M18+O18)/2)+IF((VLOOKUP(R18,MogulsDD!$A$1:$D$1000,4,FALSE)*(N18+P18)/2)&gt;3.75,3.75,VLOOKUP(R18,MogulsDD!$A$1:$D$1000,4,FALSE)*(N18+P18)/2)</f>
        <v>0.245</v>
      </c>
      <c r="V18" s="143">
        <f t="shared" si="2"/>
        <v>0</v>
      </c>
      <c r="W18" s="144">
        <f>(J18+K18+L18)+IF((VLOOKUP(Q18,MogulsDD!$A$1:$D$1000,4,FALSE)*(M18+O18)/2)&gt;3.75,3.75,VLOOKUP(Q18,MogulsDD!$A$1:$D$1000,4,FALSE)*(M18+O18)/2)+IF((VLOOKUP(R18,MogulsDD!$A$1:$D$1000,4,FALSE)*(N18+P18)/2)&gt;3.75,3.75,VLOOKUP(R18,MogulsDD!$A$1:$D$1000,4,FALSE)*(N18+P18)/2)+IF((18-12*S18/$K$5)&gt;7.5,7.5,IF((18-12*S18/$K$5)&lt;0,0,(18-12*S18/$K$5)))</f>
        <v>0.54500000000000004</v>
      </c>
      <c r="X18" s="38"/>
      <c r="Y18" s="38"/>
      <c r="Z18" s="38"/>
      <c r="AA18" s="38"/>
      <c r="AB18" s="39"/>
      <c r="AC18" s="38"/>
      <c r="AD18" s="38"/>
      <c r="AE18" s="38"/>
      <c r="AF18" s="38"/>
      <c r="AG18" s="39"/>
      <c r="AH18" s="38"/>
      <c r="AI18" s="38"/>
      <c r="AJ18" s="38"/>
      <c r="AK18" s="38"/>
      <c r="AL18" s="39"/>
      <c r="AM18" s="44"/>
      <c r="AN18" s="39"/>
      <c r="AO18" s="37"/>
      <c r="AP18" s="37"/>
    </row>
    <row r="19" spans="1:42">
      <c r="A19" s="132">
        <v>7</v>
      </c>
      <c r="B19" s="126">
        <v>99</v>
      </c>
      <c r="C19" s="126">
        <v>6</v>
      </c>
      <c r="D19" s="126" t="s">
        <v>184</v>
      </c>
      <c r="E19" s="126"/>
      <c r="F19" s="126" t="s">
        <v>185</v>
      </c>
      <c r="G19" s="126" t="s">
        <v>122</v>
      </c>
      <c r="H19" s="126" t="s">
        <v>186</v>
      </c>
      <c r="I19" s="127" t="s">
        <v>187</v>
      </c>
      <c r="J19" s="128">
        <v>2.7</v>
      </c>
      <c r="K19" s="129">
        <v>2.7</v>
      </c>
      <c r="L19" s="129">
        <v>2.6</v>
      </c>
      <c r="M19" s="129">
        <v>0</v>
      </c>
      <c r="N19" s="129">
        <v>1.7</v>
      </c>
      <c r="O19" s="129">
        <v>0</v>
      </c>
      <c r="P19" s="129">
        <v>1.4</v>
      </c>
      <c r="Q19" s="129" t="s">
        <v>280</v>
      </c>
      <c r="R19" s="129" t="s">
        <v>279</v>
      </c>
      <c r="S19" s="129">
        <v>19.62</v>
      </c>
      <c r="T19" s="145">
        <f t="shared" si="1"/>
        <v>8</v>
      </c>
      <c r="U19" s="145">
        <f>IF((VLOOKUP(Q19,MogulsDD!$A$1:$D$1000,4,FALSE)*(M19+O19)/2)&gt;3.75,3.75,VLOOKUP(Q19,MogulsDD!$A$1:$D$1000,4,FALSE)*(M19+O19)/2)+IF((VLOOKUP(R19,MogulsDD!$A$1:$D$1000,4,FALSE)*(N19+P19)/2)&gt;3.75,3.75,VLOOKUP(R19,MogulsDD!$A$1:$D$1000,4,FALSE)*(N19+P19)/2)</f>
        <v>1.1779999999999999</v>
      </c>
      <c r="V19" s="145">
        <f t="shared" si="2"/>
        <v>6.6315789473684212</v>
      </c>
      <c r="W19" s="146">
        <v>15.809578947368422</v>
      </c>
      <c r="X19" s="38"/>
      <c r="Y19" s="38"/>
      <c r="Z19" s="38"/>
      <c r="AA19" s="38"/>
      <c r="AB19" s="39"/>
      <c r="AC19" s="38"/>
      <c r="AD19" s="38"/>
      <c r="AE19" s="38"/>
      <c r="AF19" s="38"/>
      <c r="AG19" s="39"/>
      <c r="AH19" s="38"/>
      <c r="AI19" s="38"/>
      <c r="AJ19" s="38"/>
      <c r="AK19" s="38"/>
      <c r="AL19" s="39"/>
      <c r="AM19" s="44"/>
      <c r="AN19" s="39"/>
      <c r="AO19" s="37"/>
      <c r="AP19" s="37"/>
    </row>
    <row r="20" spans="1:42">
      <c r="A20" s="132">
        <v>8</v>
      </c>
      <c r="B20" s="126">
        <v>21</v>
      </c>
      <c r="C20" s="126">
        <v>10</v>
      </c>
      <c r="D20" s="126" t="s">
        <v>182</v>
      </c>
      <c r="E20" s="126">
        <v>2530097</v>
      </c>
      <c r="F20" s="126" t="s">
        <v>173</v>
      </c>
      <c r="G20" s="126" t="s">
        <v>239</v>
      </c>
      <c r="H20" s="140" t="s">
        <v>183</v>
      </c>
      <c r="I20" s="127" t="s">
        <v>115</v>
      </c>
      <c r="J20" s="130">
        <v>2.4</v>
      </c>
      <c r="K20" s="131">
        <v>2.8</v>
      </c>
      <c r="L20" s="131">
        <v>2.5</v>
      </c>
      <c r="M20" s="131">
        <v>1.4</v>
      </c>
      <c r="N20" s="131">
        <v>1.1000000000000001</v>
      </c>
      <c r="O20" s="129">
        <v>1.4</v>
      </c>
      <c r="P20" s="129">
        <v>1.5</v>
      </c>
      <c r="Q20" s="129" t="s">
        <v>61</v>
      </c>
      <c r="R20" s="129" t="s">
        <v>273</v>
      </c>
      <c r="S20" s="129">
        <v>22.42</v>
      </c>
      <c r="T20" s="145">
        <f t="shared" si="1"/>
        <v>7.6999999999999993</v>
      </c>
      <c r="U20" s="145">
        <f>IF((VLOOKUP(Q20,MogulsDD!$A$1:$D$1000,4,FALSE)*(M20+O20)/2)&gt;3.75,3.75,VLOOKUP(Q20,MogulsDD!$A$1:$D$1000,4,FALSE)*(M20+O20)/2)+IF((VLOOKUP(R20,MogulsDD!$A$1:$D$1000,4,FALSE)*(N20+P20)/2)&gt;3.75,3.75,VLOOKUP(R20,MogulsDD!$A$1:$D$1000,4,FALSE)*(N20+P20)/2)</f>
        <v>2.85</v>
      </c>
      <c r="V20" s="145">
        <f t="shared" si="2"/>
        <v>5.0091743119266052</v>
      </c>
      <c r="W20" s="146">
        <v>15.559174311926604</v>
      </c>
      <c r="X20" s="38"/>
      <c r="Y20" s="38"/>
      <c r="Z20" s="38"/>
      <c r="AA20" s="38"/>
      <c r="AB20" s="39"/>
      <c r="AC20" s="38"/>
      <c r="AD20" s="38"/>
      <c r="AE20" s="38"/>
      <c r="AF20" s="38"/>
      <c r="AG20" s="39"/>
      <c r="AH20" s="38"/>
      <c r="AI20" s="38"/>
      <c r="AJ20" s="38"/>
      <c r="AK20" s="38"/>
      <c r="AL20" s="39"/>
      <c r="AM20" s="44"/>
      <c r="AN20" s="39"/>
      <c r="AO20" s="37"/>
      <c r="AP20" s="37"/>
    </row>
    <row r="21" spans="1:42">
      <c r="A21" s="132">
        <v>9</v>
      </c>
      <c r="B21" s="126">
        <v>23</v>
      </c>
      <c r="C21" s="126">
        <v>11</v>
      </c>
      <c r="D21" s="126" t="s">
        <v>232</v>
      </c>
      <c r="E21" s="126"/>
      <c r="F21" s="126"/>
      <c r="G21" s="126" t="s">
        <v>240</v>
      </c>
      <c r="H21" s="126" t="s">
        <v>247</v>
      </c>
      <c r="I21" s="127"/>
      <c r="J21" s="130">
        <v>2.2999999999999998</v>
      </c>
      <c r="K21" s="131">
        <v>2.2000000000000002</v>
      </c>
      <c r="L21" s="131">
        <v>2.4</v>
      </c>
      <c r="M21" s="131">
        <v>0</v>
      </c>
      <c r="N21" s="131">
        <v>1.5</v>
      </c>
      <c r="O21" s="129">
        <v>0</v>
      </c>
      <c r="P21" s="129">
        <v>1.3</v>
      </c>
      <c r="Q21" s="129" t="s">
        <v>279</v>
      </c>
      <c r="R21" s="129" t="s">
        <v>274</v>
      </c>
      <c r="S21" s="129">
        <v>23.44</v>
      </c>
      <c r="T21" s="145">
        <f t="shared" si="1"/>
        <v>6.9</v>
      </c>
      <c r="U21" s="145">
        <f>IF((VLOOKUP(Q21,MogulsDD!$A$1:$D$1000,4,FALSE)*(M21+O21)/2)&gt;3.75,3.75,VLOOKUP(Q21,MogulsDD!$A$1:$D$1000,4,FALSE)*(M21+O21)/2)+IF((VLOOKUP(R21,MogulsDD!$A$1:$D$1000,4,FALSE)*(N21+P21)/2)&gt;3.75,3.75,VLOOKUP(R21,MogulsDD!$A$1:$D$1000,4,FALSE)*(N21+P21)/2)</f>
        <v>1.0779999999999998</v>
      </c>
      <c r="V21" s="145">
        <f t="shared" si="2"/>
        <v>4.4181554804442289</v>
      </c>
      <c r="W21" s="146">
        <v>12.396155480444229</v>
      </c>
      <c r="X21" s="38"/>
      <c r="Y21" s="38"/>
      <c r="Z21" s="38"/>
      <c r="AA21" s="38"/>
      <c r="AB21" s="39"/>
      <c r="AC21" s="38"/>
      <c r="AD21" s="38"/>
      <c r="AE21" s="38"/>
      <c r="AF21" s="38"/>
      <c r="AG21" s="39"/>
      <c r="AH21" s="38"/>
      <c r="AI21" s="38"/>
      <c r="AJ21" s="38"/>
      <c r="AK21" s="38"/>
      <c r="AL21" s="39"/>
      <c r="AM21" s="44"/>
      <c r="AN21" s="39"/>
      <c r="AO21" s="37"/>
      <c r="AP21" s="37"/>
    </row>
    <row r="22" spans="1:42">
      <c r="A22" s="132">
        <v>10</v>
      </c>
      <c r="B22" s="126">
        <v>124</v>
      </c>
      <c r="C22" s="126">
        <v>5</v>
      </c>
      <c r="D22" s="126" t="s">
        <v>241</v>
      </c>
      <c r="E22" s="126"/>
      <c r="F22" s="126">
        <v>22352</v>
      </c>
      <c r="G22" s="126" t="s">
        <v>122</v>
      </c>
      <c r="H22" s="126" t="s">
        <v>127</v>
      </c>
      <c r="I22" s="127" t="s">
        <v>128</v>
      </c>
      <c r="J22" s="130">
        <v>2</v>
      </c>
      <c r="K22" s="131">
        <v>1.5</v>
      </c>
      <c r="L22" s="131">
        <v>2</v>
      </c>
      <c r="M22" s="131">
        <v>1.8</v>
      </c>
      <c r="N22" s="131">
        <v>0</v>
      </c>
      <c r="O22" s="129">
        <v>1.5</v>
      </c>
      <c r="P22" s="129">
        <v>0</v>
      </c>
      <c r="Q22" s="129" t="s">
        <v>279</v>
      </c>
      <c r="R22" s="129" t="s">
        <v>279</v>
      </c>
      <c r="S22" s="129">
        <v>23.49</v>
      </c>
      <c r="T22" s="145">
        <f t="shared" si="1"/>
        <v>5.5</v>
      </c>
      <c r="U22" s="145">
        <f>IF((VLOOKUP(Q22,MogulsDD!$A$1:$D$1000,4,FALSE)*(M22+O22)/2)&gt;3.75,3.75,VLOOKUP(Q22,MogulsDD!$A$1:$D$1000,4,FALSE)*(M22+O22)/2)+IF((VLOOKUP(R22,MogulsDD!$A$1:$D$1000,4,FALSE)*(N22+P22)/2)&gt;3.75,3.75,VLOOKUP(R22,MogulsDD!$A$1:$D$1000,4,FALSE)*(N22+P22)/2)</f>
        <v>1.254</v>
      </c>
      <c r="V22" s="145">
        <f t="shared" si="2"/>
        <v>4.389183969097056</v>
      </c>
      <c r="W22" s="146">
        <v>11.143183969097056</v>
      </c>
      <c r="X22" s="38"/>
      <c r="Y22" s="38"/>
      <c r="Z22" s="38"/>
      <c r="AA22" s="38"/>
      <c r="AB22" s="39"/>
      <c r="AC22" s="38"/>
      <c r="AD22" s="38"/>
      <c r="AE22" s="38"/>
      <c r="AF22" s="38"/>
      <c r="AG22" s="39"/>
      <c r="AH22" s="38"/>
      <c r="AI22" s="38"/>
      <c r="AJ22" s="38"/>
      <c r="AK22" s="38"/>
      <c r="AL22" s="39"/>
      <c r="AM22" s="44"/>
      <c r="AN22" s="39"/>
      <c r="AO22" s="37"/>
      <c r="AP22" s="37"/>
    </row>
    <row r="23" spans="1:42">
      <c r="A23" s="132">
        <v>11</v>
      </c>
      <c r="B23" s="126">
        <v>93</v>
      </c>
      <c r="C23" s="126">
        <v>14</v>
      </c>
      <c r="D23" s="126" t="s">
        <v>208</v>
      </c>
      <c r="E23" s="126">
        <v>2531506</v>
      </c>
      <c r="F23" s="126" t="s">
        <v>164</v>
      </c>
      <c r="G23" s="126" t="s">
        <v>209</v>
      </c>
      <c r="H23" s="126" t="s">
        <v>210</v>
      </c>
      <c r="I23" s="127" t="s">
        <v>211</v>
      </c>
      <c r="J23" s="130">
        <v>0.2</v>
      </c>
      <c r="K23" s="131">
        <v>0.7</v>
      </c>
      <c r="L23" s="131">
        <v>0.3</v>
      </c>
      <c r="M23" s="131">
        <v>1.3</v>
      </c>
      <c r="N23" s="131">
        <v>0.1</v>
      </c>
      <c r="O23" s="129">
        <v>1.1000000000000001</v>
      </c>
      <c r="P23" s="129">
        <v>0.1</v>
      </c>
      <c r="Q23" s="129" t="s">
        <v>279</v>
      </c>
      <c r="R23" s="129" t="s">
        <v>61</v>
      </c>
      <c r="S23" s="129">
        <v>24.71</v>
      </c>
      <c r="T23" s="145">
        <f t="shared" si="1"/>
        <v>1.2</v>
      </c>
      <c r="U23" s="145">
        <f>IF((VLOOKUP(Q23,MogulsDD!$A$1:$D$1000,4,FALSE)*(M23+O23)/2)&gt;3.75,3.75,VLOOKUP(Q23,MogulsDD!$A$1:$D$1000,4,FALSE)*(M23+O23)/2)+IF((VLOOKUP(R23,MogulsDD!$A$1:$D$1000,4,FALSE)*(N23+P23)/2)&gt;3.75,3.75,VLOOKUP(R23,MogulsDD!$A$1:$D$1000,4,FALSE)*(N23+P23)/2)</f>
        <v>1.032</v>
      </c>
      <c r="V23" s="145">
        <f t="shared" si="2"/>
        <v>3.6822790922259792</v>
      </c>
      <c r="W23" s="146">
        <v>5.9142790922259794</v>
      </c>
      <c r="X23" s="38"/>
      <c r="Y23" s="38"/>
      <c r="Z23" s="38"/>
      <c r="AA23" s="38"/>
      <c r="AB23" s="39"/>
      <c r="AC23" s="38"/>
      <c r="AD23" s="38"/>
      <c r="AE23" s="38"/>
      <c r="AF23" s="38"/>
      <c r="AG23" s="39"/>
      <c r="AH23" s="38"/>
      <c r="AI23" s="38"/>
      <c r="AJ23" s="38"/>
      <c r="AK23" s="38"/>
      <c r="AL23" s="39"/>
      <c r="AM23" s="44"/>
      <c r="AN23" s="39"/>
      <c r="AO23" s="37"/>
      <c r="AP23" s="37"/>
    </row>
    <row r="24" spans="1:42">
      <c r="A24" s="132">
        <v>12</v>
      </c>
      <c r="B24" s="126">
        <v>87</v>
      </c>
      <c r="C24" s="126">
        <v>13</v>
      </c>
      <c r="D24" s="126" t="s">
        <v>153</v>
      </c>
      <c r="E24" s="126"/>
      <c r="F24" s="126" t="s">
        <v>154</v>
      </c>
      <c r="G24" s="126" t="s">
        <v>122</v>
      </c>
      <c r="H24" s="126" t="s">
        <v>155</v>
      </c>
      <c r="I24" s="127" t="s">
        <v>133</v>
      </c>
      <c r="J24" s="130">
        <v>0</v>
      </c>
      <c r="K24" s="131">
        <v>0</v>
      </c>
      <c r="L24" s="131">
        <v>0</v>
      </c>
      <c r="M24" s="131">
        <v>0</v>
      </c>
      <c r="N24" s="131">
        <v>0</v>
      </c>
      <c r="O24" s="129">
        <v>0</v>
      </c>
      <c r="P24" s="129">
        <v>0</v>
      </c>
      <c r="Q24" s="129" t="s">
        <v>63</v>
      </c>
      <c r="R24" s="129" t="s">
        <v>63</v>
      </c>
      <c r="S24" s="129">
        <v>9999</v>
      </c>
      <c r="T24" s="145">
        <f t="shared" si="1"/>
        <v>0</v>
      </c>
      <c r="U24" s="145">
        <f>IF((VLOOKUP(Q24,MogulsDD!$A$1:$D$1000,4,FALSE)*(M24+O24)/2)&gt;3.75,3.75,VLOOKUP(Q24,MogulsDD!$A$1:$D$1000,4,FALSE)*(M24+O24)/2)+IF((VLOOKUP(R24,MogulsDD!$A$1:$D$1000,4,FALSE)*(N24+P24)/2)&gt;3.75,3.75,VLOOKUP(R24,MogulsDD!$A$1:$D$1000,4,FALSE)*(N24+P24)/2)</f>
        <v>0</v>
      </c>
      <c r="V24" s="145">
        <f t="shared" si="2"/>
        <v>0</v>
      </c>
      <c r="W24" s="146">
        <v>0</v>
      </c>
      <c r="X24" s="38"/>
      <c r="Y24" s="38"/>
      <c r="Z24" s="38"/>
      <c r="AA24" s="38"/>
      <c r="AB24" s="39"/>
      <c r="AC24" s="38"/>
      <c r="AD24" s="38"/>
      <c r="AE24" s="38"/>
      <c r="AF24" s="38"/>
      <c r="AG24" s="39"/>
      <c r="AH24" s="38"/>
      <c r="AI24" s="38"/>
      <c r="AJ24" s="38"/>
      <c r="AK24" s="38"/>
      <c r="AL24" s="39"/>
      <c r="AM24" s="44"/>
      <c r="AN24" s="39"/>
      <c r="AO24" s="37"/>
      <c r="AP24" s="37"/>
    </row>
    <row r="25" spans="1:42">
      <c r="A25" s="112">
        <v>13</v>
      </c>
      <c r="B25" s="113">
        <v>72</v>
      </c>
      <c r="C25" s="113">
        <v>9</v>
      </c>
      <c r="D25" s="113" t="s">
        <v>234</v>
      </c>
      <c r="E25" s="113"/>
      <c r="F25" s="113"/>
      <c r="G25" s="113" t="s">
        <v>240</v>
      </c>
      <c r="H25" s="113" t="s">
        <v>249</v>
      </c>
      <c r="I25" s="115"/>
      <c r="J25" s="116">
        <v>1.5</v>
      </c>
      <c r="K25" s="117">
        <v>1.6</v>
      </c>
      <c r="L25" s="117">
        <v>1.5</v>
      </c>
      <c r="M25" s="117">
        <v>0</v>
      </c>
      <c r="N25" s="117">
        <v>0.3</v>
      </c>
      <c r="O25" s="118">
        <v>0</v>
      </c>
      <c r="P25" s="118">
        <v>0.4</v>
      </c>
      <c r="Q25" s="118" t="s">
        <v>280</v>
      </c>
      <c r="R25" s="118" t="s">
        <v>279</v>
      </c>
      <c r="S25" s="118">
        <v>26.35</v>
      </c>
      <c r="T25" s="147">
        <f t="shared" si="1"/>
        <v>4.5999999999999996</v>
      </c>
      <c r="U25" s="147">
        <f>IF((VLOOKUP(Q25,MogulsDD!$A$1:$D$1000,4,FALSE)*(M25+O25)/2)&gt;3.75,3.75,VLOOKUP(Q25,MogulsDD!$A$1:$D$1000,4,FALSE)*(M25+O25)/2)+IF((VLOOKUP(R25,MogulsDD!$A$1:$D$1000,4,FALSE)*(N25+P25)/2)&gt;3.75,3.75,VLOOKUP(R25,MogulsDD!$A$1:$D$1000,4,FALSE)*(N25+P25)/2)</f>
        <v>0.26599999999999996</v>
      </c>
      <c r="V25" s="147">
        <f t="shared" si="2"/>
        <v>2.7320135200386275</v>
      </c>
      <c r="W25" s="148">
        <v>7.5980135200386272</v>
      </c>
      <c r="X25" s="38"/>
      <c r="Y25" s="38"/>
      <c r="Z25" s="38"/>
      <c r="AA25" s="38"/>
      <c r="AB25" s="39"/>
      <c r="AC25" s="38"/>
      <c r="AD25" s="38"/>
      <c r="AE25" s="38"/>
      <c r="AF25" s="38"/>
      <c r="AG25" s="39"/>
      <c r="AH25" s="38"/>
      <c r="AI25" s="38"/>
      <c r="AJ25" s="38"/>
      <c r="AK25" s="38"/>
      <c r="AL25" s="39"/>
      <c r="AM25" s="44"/>
      <c r="AN25" s="39"/>
      <c r="AO25" s="37"/>
      <c r="AP25" s="37"/>
    </row>
    <row r="26" spans="1:42">
      <c r="A26" s="112">
        <v>14</v>
      </c>
      <c r="B26" s="113">
        <v>62</v>
      </c>
      <c r="C26" s="113">
        <v>2</v>
      </c>
      <c r="D26" s="113" t="s">
        <v>231</v>
      </c>
      <c r="E26" s="113"/>
      <c r="F26" s="113"/>
      <c r="G26" s="113" t="s">
        <v>240</v>
      </c>
      <c r="H26" s="113" t="s">
        <v>246</v>
      </c>
      <c r="I26" s="115"/>
      <c r="J26" s="116">
        <v>0.9</v>
      </c>
      <c r="K26" s="117">
        <v>1.1000000000000001</v>
      </c>
      <c r="L26" s="117">
        <v>1.1000000000000001</v>
      </c>
      <c r="M26" s="117">
        <v>0.1</v>
      </c>
      <c r="N26" s="117">
        <v>1.3</v>
      </c>
      <c r="O26" s="118">
        <v>0.1</v>
      </c>
      <c r="P26" s="118">
        <v>1.3</v>
      </c>
      <c r="Q26" s="118" t="s">
        <v>279</v>
      </c>
      <c r="R26" s="118" t="s">
        <v>276</v>
      </c>
      <c r="S26" s="118">
        <v>33.229999999999997</v>
      </c>
      <c r="T26" s="147">
        <f t="shared" si="1"/>
        <v>3.1</v>
      </c>
      <c r="U26" s="147">
        <f>IF((VLOOKUP(Q26,MogulsDD!$A$1:$D$1000,4,FALSE)*(M26+O26)/2)&gt;3.75,3.75,VLOOKUP(Q26,MogulsDD!$A$1:$D$1000,4,FALSE)*(M26+O26)/2)+IF((VLOOKUP(R26,MogulsDD!$A$1:$D$1000,4,FALSE)*(N26+P26)/2)&gt;3.75,3.75,VLOOKUP(R26,MogulsDD!$A$1:$D$1000,4,FALSE)*(N26+P26)/2)</f>
        <v>1.6360000000000001</v>
      </c>
      <c r="V26" s="147">
        <f t="shared" si="2"/>
        <v>0</v>
      </c>
      <c r="W26" s="148">
        <v>4.7360000000000007</v>
      </c>
      <c r="X26" s="38"/>
      <c r="Y26" s="38"/>
      <c r="Z26" s="38"/>
      <c r="AA26" s="38"/>
      <c r="AB26" s="39"/>
      <c r="AC26" s="38"/>
      <c r="AD26" s="38"/>
      <c r="AE26" s="38"/>
      <c r="AF26" s="38"/>
      <c r="AG26" s="39"/>
      <c r="AH26" s="38"/>
      <c r="AI26" s="38"/>
      <c r="AJ26" s="38"/>
      <c r="AK26" s="38"/>
      <c r="AL26" s="39"/>
      <c r="AM26" s="44"/>
      <c r="AN26" s="39"/>
      <c r="AO26" s="37"/>
      <c r="AP26" s="37"/>
    </row>
    <row r="27" spans="1:42" ht="13.8" thickBot="1">
      <c r="A27" s="7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47"/>
      <c r="X27" s="38"/>
      <c r="Y27" s="38"/>
      <c r="Z27" s="38"/>
      <c r="AA27" s="38"/>
      <c r="AB27" s="39"/>
      <c r="AC27" s="38"/>
      <c r="AD27" s="38"/>
      <c r="AE27" s="38"/>
      <c r="AF27" s="38"/>
      <c r="AG27" s="38"/>
      <c r="AH27" s="38"/>
      <c r="AI27" s="38"/>
      <c r="AJ27" s="38"/>
      <c r="AK27" s="38"/>
      <c r="AL27" s="39"/>
      <c r="AM27" s="38"/>
      <c r="AN27" s="39"/>
      <c r="AO27" s="37"/>
      <c r="AP27" s="37"/>
    </row>
    <row r="28" spans="1:42" ht="13.8" thickBot="1">
      <c r="A28" s="12"/>
      <c r="B28" s="11"/>
      <c r="C28" s="9"/>
      <c r="D28" s="9"/>
      <c r="E28" s="31" t="s">
        <v>257</v>
      </c>
      <c r="F28" s="9"/>
      <c r="G28" s="9"/>
      <c r="H28" s="9"/>
      <c r="I28" s="10"/>
      <c r="J28" s="21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48"/>
      <c r="X28" s="38"/>
      <c r="Y28" s="38"/>
      <c r="Z28" s="38"/>
      <c r="AA28" s="38"/>
      <c r="AB28" s="38"/>
      <c r="AC28" s="38"/>
      <c r="AD28" s="38"/>
      <c r="AE28" s="38"/>
      <c r="AF28" s="38"/>
      <c r="AG28" s="40"/>
      <c r="AH28" s="38"/>
      <c r="AI28" s="38"/>
      <c r="AJ28" s="38"/>
      <c r="AK28" s="38"/>
      <c r="AL28" s="40"/>
      <c r="AM28" s="38"/>
      <c r="AN28" s="39"/>
      <c r="AO28" s="37"/>
      <c r="AP28" s="37"/>
    </row>
    <row r="29" spans="1:42" ht="13.8" thickBot="1">
      <c r="A29" s="2"/>
      <c r="B29" s="3" t="s">
        <v>1</v>
      </c>
      <c r="C29" s="3" t="s">
        <v>252</v>
      </c>
      <c r="D29" s="3" t="s">
        <v>111</v>
      </c>
      <c r="E29" s="3" t="s">
        <v>238</v>
      </c>
      <c r="F29" s="3" t="s">
        <v>101</v>
      </c>
      <c r="G29" s="3" t="s">
        <v>3</v>
      </c>
      <c r="H29" s="3" t="s">
        <v>4</v>
      </c>
      <c r="I29" s="4" t="s">
        <v>5</v>
      </c>
      <c r="J29" s="2" t="s">
        <v>11</v>
      </c>
      <c r="K29" s="3" t="s">
        <v>12</v>
      </c>
      <c r="L29" s="3" t="s">
        <v>15</v>
      </c>
      <c r="M29" s="3" t="s">
        <v>66</v>
      </c>
      <c r="N29" s="3" t="s">
        <v>65</v>
      </c>
      <c r="O29" s="3" t="s">
        <v>67</v>
      </c>
      <c r="P29" s="3" t="s">
        <v>68</v>
      </c>
      <c r="Q29" s="3" t="s">
        <v>59</v>
      </c>
      <c r="R29" s="3" t="s">
        <v>60</v>
      </c>
      <c r="S29" s="3" t="s">
        <v>22</v>
      </c>
      <c r="T29" s="3" t="s">
        <v>314</v>
      </c>
      <c r="U29" s="3" t="s">
        <v>315</v>
      </c>
      <c r="V29" s="3" t="s">
        <v>316</v>
      </c>
      <c r="W29" s="46" t="s">
        <v>14</v>
      </c>
      <c r="X29" s="41"/>
      <c r="Y29" s="41"/>
      <c r="Z29" s="41"/>
      <c r="AA29" s="41"/>
      <c r="AB29" s="42"/>
      <c r="AC29" s="41"/>
      <c r="AD29" s="41"/>
      <c r="AE29" s="41"/>
      <c r="AF29" s="41"/>
      <c r="AG29" s="42"/>
      <c r="AH29" s="41"/>
      <c r="AI29" s="41"/>
      <c r="AJ29" s="41"/>
      <c r="AK29" s="41"/>
      <c r="AL29" s="42"/>
      <c r="AM29" s="43"/>
      <c r="AN29" s="39"/>
      <c r="AO29" s="37"/>
      <c r="AP29" s="37"/>
    </row>
    <row r="30" spans="1:42">
      <c r="A30" s="19">
        <f>RANK(W30,$W$30:$W$35,0)</f>
        <v>1</v>
      </c>
      <c r="B30" s="32">
        <v>88</v>
      </c>
      <c r="C30" s="22">
        <v>6</v>
      </c>
      <c r="D30" s="22" t="s">
        <v>168</v>
      </c>
      <c r="E30" s="22"/>
      <c r="F30" s="22" t="s">
        <v>164</v>
      </c>
      <c r="G30" s="22" t="s">
        <v>209</v>
      </c>
      <c r="H30" s="22" t="s">
        <v>169</v>
      </c>
      <c r="I30" s="23" t="s">
        <v>103</v>
      </c>
      <c r="J30" s="24">
        <v>4.5</v>
      </c>
      <c r="K30" s="25">
        <v>4.3</v>
      </c>
      <c r="L30" s="25">
        <v>4.3</v>
      </c>
      <c r="M30" s="51">
        <v>2.1</v>
      </c>
      <c r="N30" s="51">
        <v>2</v>
      </c>
      <c r="O30" s="49">
        <v>2.2999999999999998</v>
      </c>
      <c r="P30" s="49">
        <v>2.2000000000000002</v>
      </c>
      <c r="Q30" s="49" t="s">
        <v>284</v>
      </c>
      <c r="R30" s="49" t="s">
        <v>272</v>
      </c>
      <c r="S30" s="25">
        <v>16.96</v>
      </c>
      <c r="T30" s="143">
        <f t="shared" ref="T30:T51" si="3">(J30+K30+L30)</f>
        <v>13.100000000000001</v>
      </c>
      <c r="U30" s="143">
        <f>IF((VLOOKUP(Q30,MogulsDD!$A$1:$C$1000,3,FALSE)*(M30+O30)/2)&gt;3.75,3.75,VLOOKUP(Q30,MogulsDD!$A$1:$C$1000,3,FALSE)*(M30+O30)/2)+IF((VLOOKUP(R30,MogulsDD!$A$1:$C$1000,3,FALSE)*(N30+P30)/2)&gt;3.75,3.75,VLOOKUP(R30,MogulsDD!$A$1:$C$1000,3,FALSE)*(N30+P30)/2)</f>
        <v>4.620000000000001</v>
      </c>
      <c r="V30" s="143">
        <f>IF((18-12*S30/$J$5)&gt;7.5,7.5,IF((18-12*S30/$J$5)&lt;0,0,(18-12*S30/$J$5)))</f>
        <v>6.4166192373363682</v>
      </c>
      <c r="W30" s="144">
        <f>(J30+K30+L30)+IF((VLOOKUP(Q30,MogulsDD!$A$1:$C$1000,3,FALSE)*(M30+O30)/2)&gt;3.75,3.75,VLOOKUP(Q30,MogulsDD!$A$1:$C$1000,3,FALSE)*(M30+O30)/2)+IF((VLOOKUP(R30,MogulsDD!$A$1:$C$1000,3,FALSE)*(N30+P30)/2)&gt;3.75,3.75,VLOOKUP(R30,MogulsDD!$A$1:$C$1000,3,FALSE)*(N30+P30)/2)+IF((18-12*S30/$J$5)&gt;7.5,7.5,IF((18-12*S30/$J$5)&lt;0,0,(18-12*S30/$J$5)))</f>
        <v>24.136619237336369</v>
      </c>
      <c r="X30" s="38"/>
      <c r="Y30" s="38"/>
      <c r="Z30" s="38"/>
      <c r="AA30" s="38"/>
      <c r="AB30" s="39"/>
      <c r="AC30" s="38"/>
      <c r="AD30" s="38"/>
      <c r="AE30" s="38"/>
      <c r="AF30" s="38"/>
      <c r="AG30" s="39"/>
      <c r="AH30" s="38"/>
      <c r="AI30" s="38"/>
      <c r="AJ30" s="38"/>
      <c r="AK30" s="38"/>
      <c r="AL30" s="39"/>
      <c r="AM30" s="44"/>
      <c r="AN30" s="39"/>
      <c r="AO30" s="37"/>
      <c r="AP30" s="37"/>
    </row>
    <row r="31" spans="1:42">
      <c r="A31" s="19">
        <f t="shared" ref="A31:A35" si="4">RANK(W31,$W$30:$W$35,0)</f>
        <v>2</v>
      </c>
      <c r="B31" s="32">
        <v>56</v>
      </c>
      <c r="C31" s="22">
        <v>20</v>
      </c>
      <c r="D31" s="22" t="s">
        <v>172</v>
      </c>
      <c r="E31" s="22">
        <v>2531748</v>
      </c>
      <c r="F31" s="22" t="s">
        <v>173</v>
      </c>
      <c r="G31" s="22" t="s">
        <v>239</v>
      </c>
      <c r="H31" s="22" t="s">
        <v>174</v>
      </c>
      <c r="I31" s="23" t="s">
        <v>175</v>
      </c>
      <c r="J31" s="27">
        <v>4.3</v>
      </c>
      <c r="K31" s="28">
        <v>4.3</v>
      </c>
      <c r="L31" s="28">
        <v>4.2</v>
      </c>
      <c r="M31" s="52">
        <v>2.2999999999999998</v>
      </c>
      <c r="N31" s="52">
        <v>2.2000000000000002</v>
      </c>
      <c r="O31" s="49">
        <v>2.4</v>
      </c>
      <c r="P31" s="49">
        <v>2.2999999999999998</v>
      </c>
      <c r="Q31" s="49" t="s">
        <v>270</v>
      </c>
      <c r="R31" s="49" t="s">
        <v>272</v>
      </c>
      <c r="S31" s="25">
        <v>17.43</v>
      </c>
      <c r="T31" s="143">
        <f t="shared" si="3"/>
        <v>12.8</v>
      </c>
      <c r="U31" s="143">
        <f>IF((VLOOKUP(Q31,MogulsDD!$A$1:$C$1000,3,FALSE)*(M31+O31)/2)&gt;3.75,3.75,VLOOKUP(Q31,MogulsDD!$A$1:$C$1000,3,FALSE)*(M31+O31)/2)+IF((VLOOKUP(R31,MogulsDD!$A$1:$C$1000,3,FALSE)*(N31+P31)/2)&gt;3.75,3.75,VLOOKUP(R31,MogulsDD!$A$1:$C$1000,3,FALSE)*(N31+P31)/2)</f>
        <v>4.9424999999999999</v>
      </c>
      <c r="V31" s="143">
        <f t="shared" ref="V31:V51" si="5">IF((18-12*S31/$J$5)&gt;7.5,7.5,IF((18-12*S31/$J$5)&lt;0,0,(18-12*S31/$J$5)))</f>
        <v>6.095617529880478</v>
      </c>
      <c r="W31" s="144">
        <f>(J31+K31+L31)+IF((VLOOKUP(Q31,MogulsDD!$A$1:$C$1000,3,FALSE)*(M31+O31)/2)&gt;3.75,3.75,VLOOKUP(Q31,MogulsDD!$A$1:$C$1000,3,FALSE)*(M31+O31)/2)+IF((VLOOKUP(R31,MogulsDD!$A$1:$C$1000,3,FALSE)*(N31+P31)/2)&gt;3.75,3.75,VLOOKUP(R31,MogulsDD!$A$1:$C$1000,3,FALSE)*(N31+P31)/2)+IF((18-12*S31/$J$5)&gt;7.5,7.5,IF((18-12*S31/$J$5)&lt;0,0,(18-12*S31/$J$5)))</f>
        <v>23.838117529880478</v>
      </c>
      <c r="X31" s="38"/>
      <c r="Y31" s="38"/>
      <c r="Z31" s="38"/>
      <c r="AA31" s="38"/>
      <c r="AB31" s="39"/>
      <c r="AC31" s="38"/>
      <c r="AD31" s="38"/>
      <c r="AE31" s="38"/>
      <c r="AF31" s="38"/>
      <c r="AG31" s="39"/>
      <c r="AH31" s="38"/>
      <c r="AI31" s="38"/>
      <c r="AJ31" s="38"/>
      <c r="AK31" s="38"/>
      <c r="AL31" s="39"/>
      <c r="AM31" s="44"/>
      <c r="AN31" s="39"/>
      <c r="AO31" s="37"/>
      <c r="AP31" s="37"/>
    </row>
    <row r="32" spans="1:42">
      <c r="A32" s="19">
        <f t="shared" si="4"/>
        <v>3</v>
      </c>
      <c r="B32" s="32">
        <v>100</v>
      </c>
      <c r="C32" s="22">
        <v>4</v>
      </c>
      <c r="D32" s="22" t="s">
        <v>203</v>
      </c>
      <c r="E32" s="22"/>
      <c r="F32" s="22" t="s">
        <v>164</v>
      </c>
      <c r="G32" s="22" t="s">
        <v>209</v>
      </c>
      <c r="H32" s="22" t="s">
        <v>204</v>
      </c>
      <c r="I32" s="23" t="s">
        <v>115</v>
      </c>
      <c r="J32" s="27">
        <v>4.2</v>
      </c>
      <c r="K32" s="28">
        <v>4.0999999999999996</v>
      </c>
      <c r="L32" s="28">
        <v>4.5</v>
      </c>
      <c r="M32" s="52">
        <v>2.2000000000000002</v>
      </c>
      <c r="N32" s="52">
        <v>2</v>
      </c>
      <c r="O32" s="49">
        <v>2.2999999999999998</v>
      </c>
      <c r="P32" s="49">
        <v>2.2000000000000002</v>
      </c>
      <c r="Q32" s="49" t="s">
        <v>284</v>
      </c>
      <c r="R32" s="49" t="s">
        <v>298</v>
      </c>
      <c r="S32" s="25">
        <v>18.399999999999999</v>
      </c>
      <c r="T32" s="143">
        <f t="shared" si="3"/>
        <v>12.8</v>
      </c>
      <c r="U32" s="143">
        <f>IF((VLOOKUP(Q32,MogulsDD!$A$1:$C$1000,3,FALSE)*(M32+O32)/2)&gt;3.75,3.75,VLOOKUP(Q32,MogulsDD!$A$1:$C$1000,3,FALSE)*(M32+O32)/2)+IF((VLOOKUP(R32,MogulsDD!$A$1:$C$1000,3,FALSE)*(N32+P32)/2)&gt;3.75,3.75,VLOOKUP(R32,MogulsDD!$A$1:$C$1000,3,FALSE)*(N32+P32)/2)</f>
        <v>4.9664999999999999</v>
      </c>
      <c r="V32" s="143">
        <f t="shared" si="5"/>
        <v>5.4331246442800243</v>
      </c>
      <c r="W32" s="144">
        <f>(J32+K32+L32)+IF((VLOOKUP(Q32,MogulsDD!$A$1:$C$1000,3,FALSE)*(M32+O32)/2)&gt;3.75,3.75,VLOOKUP(Q32,MogulsDD!$A$1:$C$1000,3,FALSE)*(M32+O32)/2)+IF((VLOOKUP(R32,MogulsDD!$A$1:$C$1000,3,FALSE)*(N32+P32)/2)&gt;3.75,3.75,VLOOKUP(R32,MogulsDD!$A$1:$C$1000,3,FALSE)*(N32+P32)/2)+IF((18-12*S32/$J$5)&gt;7.5,7.5,IF((18-12*S32/$J$5)&lt;0,0,(18-12*S32/$J$5)))</f>
        <v>23.199624644280025</v>
      </c>
      <c r="X32" s="38"/>
      <c r="Y32" s="38"/>
      <c r="Z32" s="38"/>
      <c r="AA32" s="38"/>
      <c r="AB32" s="39"/>
      <c r="AC32" s="38"/>
      <c r="AD32" s="38"/>
      <c r="AE32" s="38"/>
      <c r="AF32" s="38"/>
      <c r="AG32" s="39"/>
      <c r="AH32" s="38"/>
      <c r="AI32" s="38"/>
      <c r="AJ32" s="38"/>
      <c r="AK32" s="38"/>
      <c r="AL32" s="39"/>
      <c r="AM32" s="44"/>
      <c r="AN32" s="39"/>
      <c r="AO32" s="37"/>
      <c r="AP32" s="37"/>
    </row>
    <row r="33" spans="1:42">
      <c r="A33" s="19">
        <f t="shared" si="4"/>
        <v>4</v>
      </c>
      <c r="B33" s="32">
        <v>97</v>
      </c>
      <c r="C33" s="22">
        <v>2</v>
      </c>
      <c r="D33" s="22" t="s">
        <v>159</v>
      </c>
      <c r="E33" s="22">
        <v>2485295</v>
      </c>
      <c r="F33" s="22" t="s">
        <v>160</v>
      </c>
      <c r="G33" s="22" t="s">
        <v>122</v>
      </c>
      <c r="H33" s="22" t="s">
        <v>161</v>
      </c>
      <c r="I33" s="23" t="s">
        <v>162</v>
      </c>
      <c r="J33" s="27">
        <v>4.4000000000000004</v>
      </c>
      <c r="K33" s="28">
        <v>4.2</v>
      </c>
      <c r="L33" s="28">
        <v>4.4000000000000004</v>
      </c>
      <c r="M33" s="52">
        <v>2.2999999999999998</v>
      </c>
      <c r="N33" s="52">
        <v>1.8</v>
      </c>
      <c r="O33" s="49">
        <v>2.2999999999999998</v>
      </c>
      <c r="P33" s="49">
        <v>1.8</v>
      </c>
      <c r="Q33" s="49" t="s">
        <v>284</v>
      </c>
      <c r="R33" s="49" t="s">
        <v>286</v>
      </c>
      <c r="S33" s="25">
        <v>18.22</v>
      </c>
      <c r="T33" s="143">
        <f t="shared" si="3"/>
        <v>13.000000000000002</v>
      </c>
      <c r="U33" s="143">
        <f>IF((VLOOKUP(Q33,MogulsDD!$A$1:$C$1000,3,FALSE)*(M33+O33)/2)&gt;3.75,3.75,VLOOKUP(Q33,MogulsDD!$A$1:$C$1000,3,FALSE)*(M33+O33)/2)+IF((VLOOKUP(R33,MogulsDD!$A$1:$C$1000,3,FALSE)*(N33+P33)/2)&gt;3.75,3.75,VLOOKUP(R33,MogulsDD!$A$1:$C$1000,3,FALSE)*(N33+P33)/2)</f>
        <v>4.3770000000000007</v>
      </c>
      <c r="V33" s="143">
        <f t="shared" si="5"/>
        <v>5.5560614684120662</v>
      </c>
      <c r="W33" s="144">
        <f>(J33+K33+L33)+IF((VLOOKUP(Q33,MogulsDD!$A$1:$C$1000,3,FALSE)*(M33+O33)/2)&gt;3.75,3.75,VLOOKUP(Q33,MogulsDD!$A$1:$C$1000,3,FALSE)*(M33+O33)/2)+IF((VLOOKUP(R33,MogulsDD!$A$1:$C$1000,3,FALSE)*(N33+P33)/2)&gt;3.75,3.75,VLOOKUP(R33,MogulsDD!$A$1:$C$1000,3,FALSE)*(N33+P33)/2)+IF((18-12*S33/$J$5)&gt;7.5,7.5,IF((18-12*S33/$J$5)&lt;0,0,(18-12*S33/$J$5)))</f>
        <v>22.93306146841207</v>
      </c>
      <c r="X33" s="38"/>
      <c r="Y33" s="38"/>
      <c r="Z33" s="38"/>
      <c r="AA33" s="38"/>
      <c r="AB33" s="39"/>
      <c r="AC33" s="38"/>
      <c r="AD33" s="38"/>
      <c r="AE33" s="38"/>
      <c r="AF33" s="38"/>
      <c r="AG33" s="39"/>
      <c r="AH33" s="38"/>
      <c r="AI33" s="38"/>
      <c r="AJ33" s="38"/>
      <c r="AK33" s="38"/>
      <c r="AL33" s="39"/>
      <c r="AM33" s="44"/>
      <c r="AN33" s="39"/>
      <c r="AO33" s="37"/>
      <c r="AP33" s="37"/>
    </row>
    <row r="34" spans="1:42">
      <c r="A34" s="19">
        <f t="shared" si="4"/>
        <v>5</v>
      </c>
      <c r="B34" s="32">
        <v>81</v>
      </c>
      <c r="C34" s="22">
        <v>15</v>
      </c>
      <c r="D34" s="22" t="s">
        <v>205</v>
      </c>
      <c r="E34" s="22">
        <v>2530651</v>
      </c>
      <c r="F34" s="22" t="s">
        <v>206</v>
      </c>
      <c r="G34" s="22" t="s">
        <v>207</v>
      </c>
      <c r="H34" s="22" t="s">
        <v>243</v>
      </c>
      <c r="I34" s="23" t="s">
        <v>126</v>
      </c>
      <c r="J34" s="27">
        <v>3.8</v>
      </c>
      <c r="K34" s="28">
        <v>3.9</v>
      </c>
      <c r="L34" s="28">
        <v>3.8</v>
      </c>
      <c r="M34" s="52">
        <v>2.2000000000000002</v>
      </c>
      <c r="N34" s="52">
        <v>2.1</v>
      </c>
      <c r="O34" s="49">
        <v>2.2000000000000002</v>
      </c>
      <c r="P34" s="49">
        <v>2.2999999999999998</v>
      </c>
      <c r="Q34" s="49" t="s">
        <v>284</v>
      </c>
      <c r="R34" s="49" t="s">
        <v>297</v>
      </c>
      <c r="S34" s="25">
        <v>17.579999999999998</v>
      </c>
      <c r="T34" s="143">
        <f t="shared" si="3"/>
        <v>11.5</v>
      </c>
      <c r="U34" s="143">
        <f>IF((VLOOKUP(Q34,MogulsDD!$A$1:$C$1000,3,FALSE)*(M34+O34)/2)&gt;3.75,3.75,VLOOKUP(Q34,MogulsDD!$A$1:$C$1000,3,FALSE)*(M34+O34)/2)+IF((VLOOKUP(R34,MogulsDD!$A$1:$C$1000,3,FALSE)*(N34+P34)/2)&gt;3.75,3.75,VLOOKUP(R34,MogulsDD!$A$1:$C$1000,3,FALSE)*(N34+P34)/2)</f>
        <v>4.8840000000000003</v>
      </c>
      <c r="V34" s="143">
        <f t="shared" si="5"/>
        <v>5.9931701764371095</v>
      </c>
      <c r="W34" s="144">
        <f>(J34+K34+L34)+IF((VLOOKUP(Q34,MogulsDD!$A$1:$C$1000,3,FALSE)*(M34+O34)/2)&gt;3.75,3.75,VLOOKUP(Q34,MogulsDD!$A$1:$C$1000,3,FALSE)*(M34+O34)/2)+IF((VLOOKUP(R34,MogulsDD!$A$1:$C$1000,3,FALSE)*(N34+P34)/2)&gt;3.75,3.75,VLOOKUP(R34,MogulsDD!$A$1:$C$1000,3,FALSE)*(N34+P34)/2)+IF((18-12*S34/$J$5)&gt;7.5,7.5,IF((18-12*S34/$J$5)&lt;0,0,(18-12*S34/$J$5)))</f>
        <v>22.377170176437112</v>
      </c>
      <c r="X34" s="38"/>
      <c r="Y34" s="38"/>
      <c r="Z34" s="38"/>
      <c r="AA34" s="38"/>
      <c r="AB34" s="39"/>
      <c r="AC34" s="38"/>
      <c r="AD34" s="38"/>
      <c r="AE34" s="38"/>
      <c r="AF34" s="38"/>
      <c r="AG34" s="39"/>
      <c r="AH34" s="38"/>
      <c r="AI34" s="38"/>
      <c r="AJ34" s="38"/>
      <c r="AK34" s="38"/>
      <c r="AL34" s="39"/>
      <c r="AM34" s="44"/>
      <c r="AN34" s="39"/>
      <c r="AO34" s="37"/>
      <c r="AP34" s="37"/>
    </row>
    <row r="35" spans="1:42">
      <c r="A35" s="19">
        <f t="shared" si="4"/>
        <v>6</v>
      </c>
      <c r="B35" s="32">
        <v>49</v>
      </c>
      <c r="C35" s="22">
        <v>16</v>
      </c>
      <c r="D35" s="22" t="s">
        <v>170</v>
      </c>
      <c r="E35" s="22">
        <v>2529840</v>
      </c>
      <c r="F35" s="22" t="s">
        <v>164</v>
      </c>
      <c r="G35" s="22" t="s">
        <v>209</v>
      </c>
      <c r="H35" s="22" t="s">
        <v>171</v>
      </c>
      <c r="I35" s="23" t="s">
        <v>103</v>
      </c>
      <c r="J35" s="27">
        <v>4</v>
      </c>
      <c r="K35" s="28">
        <v>3.5</v>
      </c>
      <c r="L35" s="28">
        <v>3.8</v>
      </c>
      <c r="M35" s="52">
        <v>2.2999999999999998</v>
      </c>
      <c r="N35" s="52">
        <v>1.4</v>
      </c>
      <c r="O35" s="49">
        <v>2.2999999999999998</v>
      </c>
      <c r="P35" s="49">
        <v>1.5</v>
      </c>
      <c r="Q35" s="49" t="s">
        <v>284</v>
      </c>
      <c r="R35" s="49" t="s">
        <v>272</v>
      </c>
      <c r="S35" s="25">
        <v>18.78</v>
      </c>
      <c r="T35" s="143">
        <f t="shared" si="3"/>
        <v>11.3</v>
      </c>
      <c r="U35" s="143">
        <f>IF((VLOOKUP(Q35,MogulsDD!$A$1:$C$1000,3,FALSE)*(M35+O35)/2)&gt;3.75,3.75,VLOOKUP(Q35,MogulsDD!$A$1:$C$1000,3,FALSE)*(M35+O35)/2)+IF((VLOOKUP(R35,MogulsDD!$A$1:$C$1000,3,FALSE)*(N35+P35)/2)&gt;3.75,3.75,VLOOKUP(R35,MogulsDD!$A$1:$C$1000,3,FALSE)*(N35+P35)/2)</f>
        <v>4.01</v>
      </c>
      <c r="V35" s="143">
        <f t="shared" si="5"/>
        <v>5.1735913488901524</v>
      </c>
      <c r="W35" s="144">
        <f>(J35+K35+L35)+IF((VLOOKUP(Q35,MogulsDD!$A$1:$C$1000,3,FALSE)*(M35+O35)/2)&gt;3.75,3.75,VLOOKUP(Q35,MogulsDD!$A$1:$C$1000,3,FALSE)*(M35+O35)/2)+IF((VLOOKUP(R35,MogulsDD!$A$1:$C$1000,3,FALSE)*(N35+P35)/2)&gt;3.75,3.75,VLOOKUP(R35,MogulsDD!$A$1:$C$1000,3,FALSE)*(N35+P35)/2)+IF((18-12*S35/$J$5)&gt;7.5,7.5,IF((18-12*S35/$J$5)&lt;0,0,(18-12*S35/$J$5)))</f>
        <v>20.483591348890151</v>
      </c>
      <c r="X35" s="38"/>
      <c r="Y35" s="38"/>
      <c r="Z35" s="38"/>
      <c r="AA35" s="38"/>
      <c r="AB35" s="39"/>
      <c r="AC35" s="38"/>
      <c r="AD35" s="38"/>
      <c r="AE35" s="38"/>
      <c r="AF35" s="38"/>
      <c r="AG35" s="39"/>
      <c r="AH35" s="38"/>
      <c r="AI35" s="38"/>
      <c r="AJ35" s="38"/>
      <c r="AK35" s="38"/>
      <c r="AL35" s="39"/>
      <c r="AM35" s="44"/>
      <c r="AN35" s="39"/>
      <c r="AO35" s="37"/>
      <c r="AP35" s="37"/>
    </row>
    <row r="36" spans="1:42">
      <c r="A36" s="132">
        <v>7</v>
      </c>
      <c r="B36" s="133">
        <v>95</v>
      </c>
      <c r="C36" s="126">
        <v>17</v>
      </c>
      <c r="D36" s="126" t="s">
        <v>134</v>
      </c>
      <c r="E36" s="126"/>
      <c r="F36" s="126" t="s">
        <v>135</v>
      </c>
      <c r="G36" s="126" t="s">
        <v>138</v>
      </c>
      <c r="H36" s="126" t="s">
        <v>136</v>
      </c>
      <c r="I36" s="127" t="s">
        <v>137</v>
      </c>
      <c r="J36" s="130">
        <v>4.0999999999999996</v>
      </c>
      <c r="K36" s="131">
        <v>4</v>
      </c>
      <c r="L36" s="131">
        <v>4.3</v>
      </c>
      <c r="M36" s="131">
        <v>1.9</v>
      </c>
      <c r="N36" s="131">
        <v>1.6</v>
      </c>
      <c r="O36" s="129">
        <v>2.2000000000000002</v>
      </c>
      <c r="P36" s="129">
        <v>1.9</v>
      </c>
      <c r="Q36" s="129" t="s">
        <v>284</v>
      </c>
      <c r="R36" s="129" t="s">
        <v>298</v>
      </c>
      <c r="S36" s="129">
        <v>20.53</v>
      </c>
      <c r="T36" s="145">
        <f t="shared" si="3"/>
        <v>12.399999999999999</v>
      </c>
      <c r="U36" s="145">
        <f>IF((VLOOKUP(Q36,MogulsDD!$A$1:$C$1000,3,FALSE)*(M36+O36)/2)&gt;3.75,3.75,VLOOKUP(Q36,MogulsDD!$A$1:$C$1000,3,FALSE)*(M36+O36)/2)+IF((VLOOKUP(R36,MogulsDD!$A$1:$C$1000,3,FALSE)*(N36+P36)/2)&gt;3.75,3.75,VLOOKUP(R36,MogulsDD!$A$1:$C$1000,3,FALSE)*(N36+P36)/2)</f>
        <v>4.3224999999999998</v>
      </c>
      <c r="V36" s="145">
        <f t="shared" si="5"/>
        <v>3.9783722253841773</v>
      </c>
      <c r="W36" s="146">
        <v>20.700872225384174</v>
      </c>
      <c r="X36" s="38"/>
      <c r="Y36" s="38"/>
      <c r="Z36" s="38"/>
      <c r="AA36" s="38"/>
      <c r="AB36" s="39"/>
      <c r="AC36" s="38"/>
      <c r="AD36" s="38"/>
      <c r="AE36" s="38"/>
      <c r="AF36" s="38"/>
      <c r="AG36" s="39"/>
      <c r="AH36" s="38"/>
      <c r="AI36" s="38"/>
      <c r="AJ36" s="38"/>
      <c r="AK36" s="38"/>
      <c r="AL36" s="39"/>
      <c r="AM36" s="44"/>
      <c r="AN36" s="39"/>
      <c r="AO36" s="37"/>
      <c r="AP36" s="37"/>
    </row>
    <row r="37" spans="1:42">
      <c r="A37" s="132">
        <v>8</v>
      </c>
      <c r="B37" s="133">
        <v>44</v>
      </c>
      <c r="C37" s="126">
        <v>9</v>
      </c>
      <c r="D37" s="126" t="s">
        <v>110</v>
      </c>
      <c r="E37" s="126">
        <v>2531950</v>
      </c>
      <c r="F37" s="126" t="s">
        <v>106</v>
      </c>
      <c r="G37" s="126" t="s">
        <v>122</v>
      </c>
      <c r="H37" s="126" t="s">
        <v>102</v>
      </c>
      <c r="I37" s="127" t="s">
        <v>103</v>
      </c>
      <c r="J37" s="130">
        <v>3.6</v>
      </c>
      <c r="K37" s="131">
        <v>3.4</v>
      </c>
      <c r="L37" s="131">
        <v>3.8</v>
      </c>
      <c r="M37" s="131">
        <v>1.5</v>
      </c>
      <c r="N37" s="131">
        <v>2.1</v>
      </c>
      <c r="O37" s="129">
        <v>1.9</v>
      </c>
      <c r="P37" s="129">
        <v>2.2000000000000002</v>
      </c>
      <c r="Q37" s="129" t="s">
        <v>61</v>
      </c>
      <c r="R37" s="129" t="s">
        <v>272</v>
      </c>
      <c r="S37" s="129">
        <v>18.649999999999999</v>
      </c>
      <c r="T37" s="145">
        <f t="shared" si="3"/>
        <v>10.8</v>
      </c>
      <c r="U37" s="145">
        <f>IF((VLOOKUP(Q37,MogulsDD!$A$1:$C$1000,3,FALSE)*(M37+O37)/2)&gt;3.75,3.75,VLOOKUP(Q37,MogulsDD!$A$1:$C$1000,3,FALSE)*(M37+O37)/2)+IF((VLOOKUP(R37,MogulsDD!$A$1:$C$1000,3,FALSE)*(N37+P37)/2)&gt;3.75,3.75,VLOOKUP(R37,MogulsDD!$A$1:$C$1000,3,FALSE)*(N37+P37)/2)</f>
        <v>4.1500000000000004</v>
      </c>
      <c r="V37" s="145">
        <f t="shared" si="5"/>
        <v>5.2623790552077416</v>
      </c>
      <c r="W37" s="146">
        <v>20.212379055207741</v>
      </c>
      <c r="X37" s="38"/>
      <c r="Y37" s="38"/>
      <c r="Z37" s="38"/>
      <c r="AA37" s="38"/>
      <c r="AB37" s="39"/>
      <c r="AC37" s="38"/>
      <c r="AD37" s="38"/>
      <c r="AE37" s="38"/>
      <c r="AF37" s="38"/>
      <c r="AG37" s="39"/>
      <c r="AH37" s="38"/>
      <c r="AI37" s="38"/>
      <c r="AJ37" s="38"/>
      <c r="AK37" s="38"/>
      <c r="AL37" s="39"/>
      <c r="AM37" s="44"/>
      <c r="AN37" s="39"/>
      <c r="AO37" s="37"/>
      <c r="AP37" s="37"/>
    </row>
    <row r="38" spans="1:42">
      <c r="A38" s="132">
        <v>9</v>
      </c>
      <c r="B38" s="133">
        <v>18</v>
      </c>
      <c r="C38" s="126">
        <v>21</v>
      </c>
      <c r="D38" s="126" t="s">
        <v>123</v>
      </c>
      <c r="E38" s="126">
        <v>2531086</v>
      </c>
      <c r="F38" s="126" t="s">
        <v>124</v>
      </c>
      <c r="G38" s="126" t="s">
        <v>122</v>
      </c>
      <c r="H38" s="126" t="s">
        <v>125</v>
      </c>
      <c r="I38" s="127" t="s">
        <v>126</v>
      </c>
      <c r="J38" s="130">
        <v>3</v>
      </c>
      <c r="K38" s="131">
        <v>3.1</v>
      </c>
      <c r="L38" s="131">
        <v>2.8</v>
      </c>
      <c r="M38" s="131">
        <v>1.4</v>
      </c>
      <c r="N38" s="131">
        <v>1.6</v>
      </c>
      <c r="O38" s="129">
        <v>1.5</v>
      </c>
      <c r="P38" s="129">
        <v>1.6</v>
      </c>
      <c r="Q38" s="129" t="s">
        <v>276</v>
      </c>
      <c r="R38" s="129" t="s">
        <v>286</v>
      </c>
      <c r="S38" s="129">
        <v>20.079999999999998</v>
      </c>
      <c r="T38" s="145">
        <f t="shared" si="3"/>
        <v>8.8999999999999986</v>
      </c>
      <c r="U38" s="145">
        <f>IF((VLOOKUP(Q38,MogulsDD!$A$1:$C$1000,3,FALSE)*(M38+O38)/2)&gt;3.75,3.75,VLOOKUP(Q38,MogulsDD!$A$1:$C$1000,3,FALSE)*(M38+O38)/2)+IF((VLOOKUP(R38,MogulsDD!$A$1:$C$1000,3,FALSE)*(N38+P38)/2)&gt;3.75,3.75,VLOOKUP(R38,MogulsDD!$A$1:$C$1000,3,FALSE)*(N38+P38)/2)</f>
        <v>3.2665000000000002</v>
      </c>
      <c r="V38" s="145">
        <f t="shared" si="5"/>
        <v>4.2857142857142865</v>
      </c>
      <c r="W38" s="146">
        <v>16.452214285714284</v>
      </c>
      <c r="X38" s="38"/>
      <c r="Y38" s="38"/>
      <c r="Z38" s="38"/>
      <c r="AA38" s="38"/>
      <c r="AB38" s="39"/>
      <c r="AC38" s="38"/>
      <c r="AD38" s="38"/>
      <c r="AE38" s="38"/>
      <c r="AF38" s="38"/>
      <c r="AG38" s="39"/>
      <c r="AH38" s="38"/>
      <c r="AI38" s="38"/>
      <c r="AJ38" s="38"/>
      <c r="AK38" s="38"/>
      <c r="AL38" s="39"/>
      <c r="AM38" s="44"/>
      <c r="AN38" s="39"/>
      <c r="AO38" s="37"/>
      <c r="AP38" s="37"/>
    </row>
    <row r="39" spans="1:42">
      <c r="A39" s="132">
        <v>10</v>
      </c>
      <c r="B39" s="133">
        <v>15</v>
      </c>
      <c r="C39" s="126">
        <v>13</v>
      </c>
      <c r="D39" s="126" t="s">
        <v>237</v>
      </c>
      <c r="E39" s="126"/>
      <c r="F39" s="126"/>
      <c r="G39" s="126" t="s">
        <v>240</v>
      </c>
      <c r="H39" s="126" t="s">
        <v>244</v>
      </c>
      <c r="I39" s="127"/>
      <c r="J39" s="130">
        <v>3</v>
      </c>
      <c r="K39" s="131">
        <v>2.8</v>
      </c>
      <c r="L39" s="131">
        <v>3.3</v>
      </c>
      <c r="M39" s="131">
        <v>1.7</v>
      </c>
      <c r="N39" s="131">
        <v>1.5</v>
      </c>
      <c r="O39" s="129">
        <v>1.8</v>
      </c>
      <c r="P39" s="129">
        <v>1.2</v>
      </c>
      <c r="Q39" s="129" t="s">
        <v>275</v>
      </c>
      <c r="R39" s="129" t="s">
        <v>274</v>
      </c>
      <c r="S39" s="129">
        <v>20.45</v>
      </c>
      <c r="T39" s="145">
        <f t="shared" si="3"/>
        <v>9.1</v>
      </c>
      <c r="U39" s="145">
        <f>IF((VLOOKUP(Q39,MogulsDD!$A$1:$C$1000,3,FALSE)*(M39+O39)/2)&gt;3.75,3.75,VLOOKUP(Q39,MogulsDD!$A$1:$C$1000,3,FALSE)*(M39+O39)/2)+IF((VLOOKUP(R39,MogulsDD!$A$1:$C$1000,3,FALSE)*(N39+P39)/2)&gt;3.75,3.75,VLOOKUP(R39,MogulsDD!$A$1:$C$1000,3,FALSE)*(N39+P39)/2)</f>
        <v>2.2195</v>
      </c>
      <c r="V39" s="145">
        <f t="shared" si="5"/>
        <v>4.0330108138873086</v>
      </c>
      <c r="W39" s="146">
        <v>15.352510813887308</v>
      </c>
      <c r="X39" s="38"/>
      <c r="Y39" s="38"/>
      <c r="Z39" s="38"/>
      <c r="AA39" s="38"/>
      <c r="AB39" s="39"/>
      <c r="AC39" s="38"/>
      <c r="AD39" s="38"/>
      <c r="AE39" s="38"/>
      <c r="AF39" s="38"/>
      <c r="AG39" s="39"/>
      <c r="AH39" s="38"/>
      <c r="AI39" s="38"/>
      <c r="AJ39" s="38"/>
      <c r="AK39" s="38"/>
      <c r="AL39" s="39"/>
      <c r="AM39" s="44"/>
      <c r="AN39" s="39"/>
      <c r="AO39" s="37"/>
      <c r="AP39" s="37"/>
    </row>
    <row r="40" spans="1:42">
      <c r="A40" s="132">
        <v>11</v>
      </c>
      <c r="B40" s="133">
        <v>25</v>
      </c>
      <c r="C40" s="126">
        <v>11</v>
      </c>
      <c r="D40" s="126" t="s">
        <v>130</v>
      </c>
      <c r="E40" s="126"/>
      <c r="F40" s="126" t="s">
        <v>131</v>
      </c>
      <c r="G40" s="126" t="s">
        <v>122</v>
      </c>
      <c r="H40" s="126" t="s">
        <v>132</v>
      </c>
      <c r="I40" s="127" t="s">
        <v>133</v>
      </c>
      <c r="J40" s="130">
        <v>2.9</v>
      </c>
      <c r="K40" s="131">
        <v>2.8</v>
      </c>
      <c r="L40" s="131">
        <v>3.1</v>
      </c>
      <c r="M40" s="131">
        <v>1.7</v>
      </c>
      <c r="N40" s="131">
        <v>2</v>
      </c>
      <c r="O40" s="129">
        <v>1.6</v>
      </c>
      <c r="P40" s="129">
        <v>1.6</v>
      </c>
      <c r="Q40" s="129" t="s">
        <v>276</v>
      </c>
      <c r="R40" s="129" t="s">
        <v>274</v>
      </c>
      <c r="S40" s="129">
        <v>22.84</v>
      </c>
      <c r="T40" s="145">
        <f t="shared" si="3"/>
        <v>8.7999999999999989</v>
      </c>
      <c r="U40" s="145">
        <f>IF((VLOOKUP(Q40,MogulsDD!$A$1:$C$1000,3,FALSE)*(M40+O40)/2)&gt;3.75,3.75,VLOOKUP(Q40,MogulsDD!$A$1:$C$1000,3,FALSE)*(M40+O40)/2)+IF((VLOOKUP(R40,MogulsDD!$A$1:$C$1000,3,FALSE)*(N40+P40)/2)&gt;3.75,3.75,VLOOKUP(R40,MogulsDD!$A$1:$C$1000,3,FALSE)*(N40+P40)/2)</f>
        <v>2.8485</v>
      </c>
      <c r="V40" s="145">
        <f t="shared" si="5"/>
        <v>2.4006829823562903</v>
      </c>
      <c r="W40" s="146">
        <v>14.049182982356289</v>
      </c>
      <c r="X40" s="38"/>
      <c r="Y40" s="38"/>
      <c r="Z40" s="38"/>
      <c r="AA40" s="38"/>
      <c r="AB40" s="39"/>
      <c r="AC40" s="38"/>
      <c r="AD40" s="38"/>
      <c r="AE40" s="38"/>
      <c r="AF40" s="38"/>
      <c r="AG40" s="39"/>
      <c r="AH40" s="38"/>
      <c r="AI40" s="38"/>
      <c r="AJ40" s="38"/>
      <c r="AK40" s="38"/>
      <c r="AL40" s="39"/>
      <c r="AM40" s="44"/>
      <c r="AN40" s="39"/>
      <c r="AO40" s="37"/>
      <c r="AP40" s="37"/>
    </row>
    <row r="41" spans="1:42" ht="13.8" thickBot="1">
      <c r="A41" s="132">
        <v>12</v>
      </c>
      <c r="B41" s="134">
        <v>3</v>
      </c>
      <c r="C41" s="126">
        <v>19</v>
      </c>
      <c r="D41" s="135" t="s">
        <v>156</v>
      </c>
      <c r="E41" s="126">
        <v>2532116</v>
      </c>
      <c r="F41" s="135" t="s">
        <v>157</v>
      </c>
      <c r="G41" s="135" t="s">
        <v>122</v>
      </c>
      <c r="H41" s="135" t="s">
        <v>158</v>
      </c>
      <c r="I41" s="136" t="s">
        <v>128</v>
      </c>
      <c r="J41" s="137">
        <v>0</v>
      </c>
      <c r="K41" s="138">
        <v>0</v>
      </c>
      <c r="L41" s="138">
        <v>0</v>
      </c>
      <c r="M41" s="138">
        <v>0</v>
      </c>
      <c r="N41" s="138">
        <v>0</v>
      </c>
      <c r="O41" s="138">
        <v>0</v>
      </c>
      <c r="P41" s="138">
        <v>0</v>
      </c>
      <c r="Q41" s="129" t="s">
        <v>63</v>
      </c>
      <c r="R41" s="129" t="s">
        <v>63</v>
      </c>
      <c r="S41" s="129">
        <v>9999</v>
      </c>
      <c r="T41" s="145">
        <f t="shared" si="3"/>
        <v>0</v>
      </c>
      <c r="U41" s="145">
        <f>IF((VLOOKUP(Q41,MogulsDD!$A$1:$C$1000,3,FALSE)*(M41+O41)/2)&gt;3.75,3.75,VLOOKUP(Q41,MogulsDD!$A$1:$C$1000,3,FALSE)*(M41+O41)/2)+IF((VLOOKUP(R41,MogulsDD!$A$1:$C$1000,3,FALSE)*(N41+P41)/2)&gt;3.75,3.75,VLOOKUP(R41,MogulsDD!$A$1:$C$1000,3,FALSE)*(N41+P41)/2)</f>
        <v>0</v>
      </c>
      <c r="V41" s="145">
        <f t="shared" si="5"/>
        <v>0</v>
      </c>
      <c r="W41" s="146">
        <v>0</v>
      </c>
      <c r="X41" s="38"/>
      <c r="Y41" s="38"/>
      <c r="Z41" s="38"/>
      <c r="AA41" s="38"/>
      <c r="AB41" s="39"/>
      <c r="AC41" s="38"/>
      <c r="AD41" s="38"/>
      <c r="AE41" s="38"/>
      <c r="AF41" s="38"/>
      <c r="AG41" s="39"/>
      <c r="AH41" s="38"/>
      <c r="AI41" s="38"/>
      <c r="AJ41" s="38"/>
      <c r="AK41" s="38"/>
      <c r="AL41" s="39"/>
      <c r="AM41" s="44"/>
      <c r="AN41" s="39"/>
      <c r="AO41" s="37"/>
      <c r="AP41" s="37"/>
    </row>
    <row r="42" spans="1:42">
      <c r="A42" s="112">
        <v>13</v>
      </c>
      <c r="B42" s="119">
        <v>109</v>
      </c>
      <c r="C42" s="113">
        <v>10</v>
      </c>
      <c r="D42" s="120" t="s">
        <v>199</v>
      </c>
      <c r="E42" s="113">
        <v>2528447</v>
      </c>
      <c r="F42" s="120" t="s">
        <v>200</v>
      </c>
      <c r="G42" s="120" t="s">
        <v>122</v>
      </c>
      <c r="H42" s="120" t="s">
        <v>201</v>
      </c>
      <c r="I42" s="121" t="s">
        <v>202</v>
      </c>
      <c r="J42" s="122">
        <v>2.2000000000000002</v>
      </c>
      <c r="K42" s="123">
        <v>2.5</v>
      </c>
      <c r="L42" s="123">
        <v>2.2000000000000002</v>
      </c>
      <c r="M42" s="123">
        <v>1.5</v>
      </c>
      <c r="N42" s="123">
        <v>1.3</v>
      </c>
      <c r="O42" s="123">
        <v>1.2</v>
      </c>
      <c r="P42" s="123">
        <v>1.3</v>
      </c>
      <c r="Q42" s="118" t="s">
        <v>276</v>
      </c>
      <c r="R42" s="118" t="s">
        <v>28</v>
      </c>
      <c r="S42" s="118">
        <v>21.11</v>
      </c>
      <c r="T42" s="147">
        <f t="shared" si="3"/>
        <v>6.9</v>
      </c>
      <c r="U42" s="147">
        <f>IF((VLOOKUP(Q42,MogulsDD!$A$1:$C$1000,3,FALSE)*(M42+O42)/2)&gt;3.75,3.75,VLOOKUP(Q42,MogulsDD!$A$1:$C$1000,3,FALSE)*(M42+O42)/2)+IF((VLOOKUP(R42,MogulsDD!$A$1:$C$1000,3,FALSE)*(N42+P42)/2)&gt;3.75,3.75,VLOOKUP(R42,MogulsDD!$A$1:$C$1000,3,FALSE)*(N42+P42)/2)</f>
        <v>2.8864999999999998</v>
      </c>
      <c r="V42" s="147">
        <f t="shared" si="5"/>
        <v>3.5822424587364825</v>
      </c>
      <c r="W42" s="148">
        <v>13.368742458736483</v>
      </c>
      <c r="X42" s="38"/>
      <c r="Y42" s="38"/>
      <c r="Z42" s="38"/>
      <c r="AA42" s="38"/>
      <c r="AB42" s="39"/>
      <c r="AC42" s="38"/>
      <c r="AD42" s="38"/>
      <c r="AE42" s="38"/>
      <c r="AF42" s="38"/>
      <c r="AG42" s="39"/>
      <c r="AH42" s="38"/>
      <c r="AI42" s="38"/>
      <c r="AJ42" s="38"/>
      <c r="AK42" s="38"/>
      <c r="AL42" s="39"/>
      <c r="AM42" s="44"/>
      <c r="AN42" s="39"/>
      <c r="AO42" s="37"/>
      <c r="AP42" s="37"/>
    </row>
    <row r="43" spans="1:42">
      <c r="A43" s="112">
        <v>14</v>
      </c>
      <c r="B43" s="124">
        <v>29</v>
      </c>
      <c r="C43" s="113">
        <v>1</v>
      </c>
      <c r="D43" s="113" t="s">
        <v>116</v>
      </c>
      <c r="E43" s="113"/>
      <c r="F43" s="113"/>
      <c r="G43" s="113" t="s">
        <v>122</v>
      </c>
      <c r="H43" s="113" t="s">
        <v>117</v>
      </c>
      <c r="I43" s="115" t="s">
        <v>103</v>
      </c>
      <c r="J43" s="125">
        <v>2.9</v>
      </c>
      <c r="K43" s="117">
        <v>2.7</v>
      </c>
      <c r="L43" s="117">
        <v>3</v>
      </c>
      <c r="M43" s="117">
        <v>0</v>
      </c>
      <c r="N43" s="117">
        <v>1.3</v>
      </c>
      <c r="O43" s="118">
        <v>0</v>
      </c>
      <c r="P43" s="118">
        <v>1.4</v>
      </c>
      <c r="Q43" s="118" t="s">
        <v>280</v>
      </c>
      <c r="R43" s="118" t="s">
        <v>279</v>
      </c>
      <c r="S43" s="118">
        <v>22.44</v>
      </c>
      <c r="T43" s="147">
        <f t="shared" si="3"/>
        <v>8.6</v>
      </c>
      <c r="U43" s="147">
        <f>IF((VLOOKUP(Q43,MogulsDD!$A$1:$C$1000,3,FALSE)*(M43+O43)/2)&gt;3.75,3.75,VLOOKUP(Q43,MogulsDD!$A$1:$C$1000,3,FALSE)*(M43+O43)/2)+IF((VLOOKUP(R43,MogulsDD!$A$1:$C$1000,3,FALSE)*(N43+P43)/2)&gt;3.75,3.75,VLOOKUP(R43,MogulsDD!$A$1:$C$1000,3,FALSE)*(N43+P43)/2)</f>
        <v>0.82350000000000001</v>
      </c>
      <c r="V43" s="147">
        <f t="shared" si="5"/>
        <v>2.6738759248719397</v>
      </c>
      <c r="W43" s="148">
        <v>12.097375924871939</v>
      </c>
      <c r="X43" s="38"/>
      <c r="Y43" s="38"/>
      <c r="Z43" s="38"/>
      <c r="AA43" s="38"/>
      <c r="AB43" s="39"/>
      <c r="AC43" s="38"/>
      <c r="AD43" s="38"/>
      <c r="AE43" s="38"/>
      <c r="AF43" s="38"/>
      <c r="AG43" s="39"/>
      <c r="AH43" s="38"/>
      <c r="AI43" s="38"/>
      <c r="AJ43" s="38"/>
      <c r="AK43" s="38"/>
      <c r="AL43" s="39"/>
      <c r="AM43" s="44"/>
      <c r="AN43" s="39"/>
      <c r="AO43" s="37"/>
      <c r="AP43" s="37"/>
    </row>
    <row r="44" spans="1:42">
      <c r="A44" s="112">
        <v>15</v>
      </c>
      <c r="B44" s="124">
        <v>17</v>
      </c>
      <c r="C44" s="113">
        <v>8</v>
      </c>
      <c r="D44" s="113" t="s">
        <v>166</v>
      </c>
      <c r="E44" s="113"/>
      <c r="F44" s="113" t="s">
        <v>164</v>
      </c>
      <c r="G44" s="113" t="s">
        <v>209</v>
      </c>
      <c r="H44" s="139" t="s">
        <v>167</v>
      </c>
      <c r="I44" s="115" t="s">
        <v>133</v>
      </c>
      <c r="J44" s="125">
        <v>2</v>
      </c>
      <c r="K44" s="117">
        <v>2.6</v>
      </c>
      <c r="L44" s="117">
        <v>2.1</v>
      </c>
      <c r="M44" s="117">
        <v>1.8</v>
      </c>
      <c r="N44" s="117">
        <v>0</v>
      </c>
      <c r="O44" s="118">
        <v>2.1</v>
      </c>
      <c r="P44" s="118">
        <v>0</v>
      </c>
      <c r="Q44" s="118" t="s">
        <v>279</v>
      </c>
      <c r="R44" s="118" t="s">
        <v>296</v>
      </c>
      <c r="S44" s="118">
        <v>20.88</v>
      </c>
      <c r="T44" s="147">
        <f t="shared" si="3"/>
        <v>6.6999999999999993</v>
      </c>
      <c r="U44" s="147">
        <f>IF((VLOOKUP(Q44,MogulsDD!$A$1:$C$1000,3,FALSE)*(M44+O44)/2)&gt;3.75,3.75,VLOOKUP(Q44,MogulsDD!$A$1:$C$1000,3,FALSE)*(M44+O44)/2)+IF((VLOOKUP(R44,MogulsDD!$A$1:$C$1000,3,FALSE)*(N44+P44)/2)&gt;3.75,3.75,VLOOKUP(R44,MogulsDD!$A$1:$C$1000,3,FALSE)*(N44+P44)/2)</f>
        <v>1.1895</v>
      </c>
      <c r="V44" s="147">
        <f t="shared" si="5"/>
        <v>3.7393284006829823</v>
      </c>
      <c r="W44" s="148">
        <v>11.628828400682981</v>
      </c>
      <c r="X44" s="38"/>
      <c r="Y44" s="38"/>
      <c r="Z44" s="38"/>
      <c r="AA44" s="38"/>
      <c r="AB44" s="39"/>
      <c r="AC44" s="38"/>
      <c r="AD44" s="38"/>
      <c r="AE44" s="38"/>
      <c r="AF44" s="38"/>
      <c r="AG44" s="39"/>
      <c r="AH44" s="38"/>
      <c r="AI44" s="38"/>
      <c r="AJ44" s="38"/>
      <c r="AK44" s="38"/>
      <c r="AL44" s="39"/>
      <c r="AM44" s="44"/>
      <c r="AN44" s="39"/>
      <c r="AO44" s="37"/>
      <c r="AP44" s="37"/>
    </row>
    <row r="45" spans="1:42">
      <c r="A45" s="112">
        <v>16</v>
      </c>
      <c r="B45" s="124">
        <v>36</v>
      </c>
      <c r="C45" s="113">
        <v>18</v>
      </c>
      <c r="D45" s="113" t="s">
        <v>188</v>
      </c>
      <c r="E45" s="113"/>
      <c r="F45" s="113" t="s">
        <v>189</v>
      </c>
      <c r="G45" s="113" t="s">
        <v>122</v>
      </c>
      <c r="H45" s="113" t="s">
        <v>190</v>
      </c>
      <c r="I45" s="115" t="s">
        <v>121</v>
      </c>
      <c r="J45" s="125">
        <v>1.8</v>
      </c>
      <c r="K45" s="117">
        <v>2.2000000000000002</v>
      </c>
      <c r="L45" s="117">
        <v>1.9</v>
      </c>
      <c r="M45" s="117">
        <v>1</v>
      </c>
      <c r="N45" s="117">
        <v>0.8</v>
      </c>
      <c r="O45" s="118">
        <v>1</v>
      </c>
      <c r="P45" s="118">
        <v>0.9</v>
      </c>
      <c r="Q45" s="118" t="s">
        <v>276</v>
      </c>
      <c r="R45" s="118" t="s">
        <v>286</v>
      </c>
      <c r="S45" s="118">
        <v>22.04</v>
      </c>
      <c r="T45" s="147">
        <f t="shared" si="3"/>
        <v>5.9</v>
      </c>
      <c r="U45" s="147">
        <f>IF((VLOOKUP(Q45,MogulsDD!$A$1:$C$1000,3,FALSE)*(M45+O45)/2)&gt;3.75,3.75,VLOOKUP(Q45,MogulsDD!$A$1:$C$1000,3,FALSE)*(M45+O45)/2)+IF((VLOOKUP(R45,MogulsDD!$A$1:$C$1000,3,FALSE)*(N45+P45)/2)&gt;3.75,3.75,VLOOKUP(R45,MogulsDD!$A$1:$C$1000,3,FALSE)*(N45+P45)/2)</f>
        <v>1.9765000000000001</v>
      </c>
      <c r="V45" s="147">
        <f t="shared" si="5"/>
        <v>2.9470688673875909</v>
      </c>
      <c r="W45" s="148">
        <v>10.823568867387591</v>
      </c>
      <c r="X45" s="38"/>
      <c r="Y45" s="38"/>
      <c r="Z45" s="38"/>
      <c r="AA45" s="38"/>
      <c r="AB45" s="39"/>
      <c r="AC45" s="38"/>
      <c r="AD45" s="38"/>
      <c r="AE45" s="38"/>
      <c r="AF45" s="38"/>
      <c r="AG45" s="39"/>
      <c r="AH45" s="38"/>
      <c r="AI45" s="38"/>
      <c r="AJ45" s="38"/>
      <c r="AK45" s="38"/>
      <c r="AL45" s="39"/>
      <c r="AM45" s="44"/>
      <c r="AN45" s="39"/>
      <c r="AO45" s="37"/>
      <c r="AP45" s="37"/>
    </row>
    <row r="46" spans="1:42">
      <c r="A46" s="112">
        <v>17</v>
      </c>
      <c r="B46" s="124">
        <v>43</v>
      </c>
      <c r="C46" s="113">
        <v>7</v>
      </c>
      <c r="D46" s="113" t="s">
        <v>163</v>
      </c>
      <c r="E46" s="113"/>
      <c r="F46" s="113" t="s">
        <v>164</v>
      </c>
      <c r="G46" s="113" t="s">
        <v>209</v>
      </c>
      <c r="H46" s="113" t="s">
        <v>165</v>
      </c>
      <c r="I46" s="115" t="s">
        <v>103</v>
      </c>
      <c r="J46" s="125">
        <v>1.9</v>
      </c>
      <c r="K46" s="117">
        <v>2.4</v>
      </c>
      <c r="L46" s="117">
        <v>2.1</v>
      </c>
      <c r="M46" s="117">
        <v>1.6</v>
      </c>
      <c r="N46" s="117">
        <v>0</v>
      </c>
      <c r="O46" s="118">
        <v>1.3</v>
      </c>
      <c r="P46" s="118">
        <v>0</v>
      </c>
      <c r="Q46" s="118" t="s">
        <v>279</v>
      </c>
      <c r="R46" s="118" t="s">
        <v>282</v>
      </c>
      <c r="S46" s="118">
        <v>21.79</v>
      </c>
      <c r="T46" s="147">
        <f t="shared" si="3"/>
        <v>6.4</v>
      </c>
      <c r="U46" s="147">
        <f>IF((VLOOKUP(Q46,MogulsDD!$A$1:$C$1000,3,FALSE)*(M46+O46)/2)&gt;3.75,3.75,VLOOKUP(Q46,MogulsDD!$A$1:$C$1000,3,FALSE)*(M46+O46)/2)+IF((VLOOKUP(R46,MogulsDD!$A$1:$C$1000,3,FALSE)*(N46+P46)/2)&gt;3.75,3.75,VLOOKUP(R46,MogulsDD!$A$1:$C$1000,3,FALSE)*(N46+P46)/2)</f>
        <v>0.88450000000000006</v>
      </c>
      <c r="V46" s="147">
        <f t="shared" si="5"/>
        <v>3.1178144564598735</v>
      </c>
      <c r="W46" s="148">
        <v>10.402314456459873</v>
      </c>
      <c r="X46" s="38"/>
      <c r="Y46" s="38"/>
      <c r="Z46" s="38"/>
      <c r="AA46" s="38"/>
      <c r="AB46" s="39"/>
      <c r="AC46" s="38"/>
      <c r="AD46" s="38"/>
      <c r="AE46" s="38"/>
      <c r="AF46" s="38"/>
      <c r="AG46" s="39"/>
      <c r="AH46" s="38"/>
      <c r="AI46" s="38"/>
      <c r="AJ46" s="38"/>
      <c r="AK46" s="38"/>
      <c r="AL46" s="39"/>
      <c r="AM46" s="44"/>
      <c r="AN46" s="39"/>
      <c r="AO46" s="37"/>
      <c r="AP46" s="37"/>
    </row>
    <row r="47" spans="1:42">
      <c r="A47" s="112">
        <v>18</v>
      </c>
      <c r="B47" s="124">
        <v>14</v>
      </c>
      <c r="C47" s="113">
        <v>23</v>
      </c>
      <c r="D47" s="113" t="s">
        <v>269</v>
      </c>
      <c r="E47" s="113"/>
      <c r="F47" s="113"/>
      <c r="G47" s="113" t="s">
        <v>122</v>
      </c>
      <c r="H47" s="113" t="s">
        <v>268</v>
      </c>
      <c r="I47" s="115"/>
      <c r="J47" s="125">
        <v>2.2999999999999998</v>
      </c>
      <c r="K47" s="117">
        <v>2.5</v>
      </c>
      <c r="L47" s="117">
        <v>1.8</v>
      </c>
      <c r="M47" s="117">
        <v>0.2</v>
      </c>
      <c r="N47" s="117">
        <v>0</v>
      </c>
      <c r="O47" s="118">
        <v>0.2</v>
      </c>
      <c r="P47" s="118">
        <v>0</v>
      </c>
      <c r="Q47" s="118" t="s">
        <v>282</v>
      </c>
      <c r="R47" s="118" t="s">
        <v>63</v>
      </c>
      <c r="S47" s="118">
        <v>23.87</v>
      </c>
      <c r="T47" s="147">
        <f t="shared" si="3"/>
        <v>6.6</v>
      </c>
      <c r="U47" s="147">
        <f>IF((VLOOKUP(Q47,MogulsDD!$A$1:$C$1000,3,FALSE)*(M47+O47)/2)&gt;3.75,3.75,VLOOKUP(Q47,MogulsDD!$A$1:$C$1000,3,FALSE)*(M47+O47)/2)+IF((VLOOKUP(R47,MogulsDD!$A$1:$C$1000,3,FALSE)*(N47+P47)/2)&gt;3.75,3.75,VLOOKUP(R47,MogulsDD!$A$1:$C$1000,3,FALSE)*(N47+P47)/2)</f>
        <v>0.124</v>
      </c>
      <c r="V47" s="147">
        <f t="shared" si="5"/>
        <v>1.6972111553784863</v>
      </c>
      <c r="W47" s="148">
        <v>8.4212111553784865</v>
      </c>
      <c r="X47" s="38"/>
      <c r="Y47" s="38"/>
      <c r="Z47" s="38"/>
      <c r="AA47" s="38"/>
      <c r="AB47" s="39"/>
      <c r="AC47" s="38"/>
      <c r="AD47" s="38"/>
      <c r="AE47" s="38"/>
      <c r="AF47" s="38"/>
      <c r="AG47" s="39"/>
      <c r="AH47" s="38"/>
      <c r="AI47" s="38"/>
      <c r="AJ47" s="38"/>
      <c r="AK47" s="38"/>
      <c r="AL47" s="39"/>
      <c r="AM47" s="44"/>
      <c r="AN47" s="39"/>
      <c r="AO47" s="37"/>
      <c r="AP47" s="37"/>
    </row>
    <row r="48" spans="1:42">
      <c r="A48" s="112">
        <v>19</v>
      </c>
      <c r="B48" s="124">
        <v>104</v>
      </c>
      <c r="C48" s="113">
        <v>3</v>
      </c>
      <c r="D48" s="113" t="s">
        <v>112</v>
      </c>
      <c r="E48" s="113">
        <v>2530279</v>
      </c>
      <c r="F48" s="113" t="s">
        <v>113</v>
      </c>
      <c r="G48" s="113" t="s">
        <v>122</v>
      </c>
      <c r="H48" s="113" t="s">
        <v>114</v>
      </c>
      <c r="I48" s="115" t="s">
        <v>115</v>
      </c>
      <c r="J48" s="125">
        <v>1.3</v>
      </c>
      <c r="K48" s="117">
        <v>1.6</v>
      </c>
      <c r="L48" s="117">
        <v>1</v>
      </c>
      <c r="M48" s="117">
        <v>1.4</v>
      </c>
      <c r="N48" s="117">
        <v>0.1</v>
      </c>
      <c r="O48" s="118">
        <v>1.8</v>
      </c>
      <c r="P48" s="118">
        <v>0.1</v>
      </c>
      <c r="Q48" s="118" t="s">
        <v>61</v>
      </c>
      <c r="R48" s="118" t="s">
        <v>286</v>
      </c>
      <c r="S48" s="118">
        <v>22.77</v>
      </c>
      <c r="T48" s="147">
        <f t="shared" si="3"/>
        <v>3.9000000000000004</v>
      </c>
      <c r="U48" s="147">
        <f>IF((VLOOKUP(Q48,MogulsDD!$A$1:$C$1000,3,FALSE)*(M48+O48)/2)&gt;3.75,3.75,VLOOKUP(Q48,MogulsDD!$A$1:$C$1000,3,FALSE)*(M48+O48)/2)+IF((VLOOKUP(R48,MogulsDD!$A$1:$C$1000,3,FALSE)*(N48+P48)/2)&gt;3.75,3.75,VLOOKUP(R48,MogulsDD!$A$1:$C$1000,3,FALSE)*(N48+P48)/2)</f>
        <v>1.7890000000000001</v>
      </c>
      <c r="V48" s="147">
        <f t="shared" si="5"/>
        <v>2.4484917472965275</v>
      </c>
      <c r="W48" s="148">
        <v>8.1374917472965276</v>
      </c>
      <c r="X48" s="38"/>
      <c r="Y48" s="38"/>
      <c r="Z48" s="38"/>
      <c r="AA48" s="38"/>
      <c r="AB48" s="39"/>
      <c r="AC48" s="38"/>
      <c r="AD48" s="38"/>
      <c r="AE48" s="38"/>
      <c r="AF48" s="38"/>
      <c r="AG48" s="39"/>
      <c r="AH48" s="38"/>
      <c r="AI48" s="38"/>
      <c r="AJ48" s="38"/>
      <c r="AK48" s="38"/>
      <c r="AL48" s="39"/>
      <c r="AM48" s="44"/>
      <c r="AN48" s="39"/>
      <c r="AO48" s="37"/>
      <c r="AP48" s="37"/>
    </row>
    <row r="49" spans="1:42">
      <c r="A49" s="112">
        <v>20</v>
      </c>
      <c r="B49" s="124">
        <v>84</v>
      </c>
      <c r="C49" s="113">
        <v>5</v>
      </c>
      <c r="D49" s="113" t="s">
        <v>194</v>
      </c>
      <c r="E49" s="113"/>
      <c r="F49" s="113" t="s">
        <v>192</v>
      </c>
      <c r="G49" s="113" t="s">
        <v>122</v>
      </c>
      <c r="H49" s="113" t="s">
        <v>195</v>
      </c>
      <c r="I49" s="115" t="s">
        <v>196</v>
      </c>
      <c r="J49" s="125">
        <v>1.1000000000000001</v>
      </c>
      <c r="K49" s="117">
        <v>1.1000000000000001</v>
      </c>
      <c r="L49" s="117">
        <v>0.8</v>
      </c>
      <c r="M49" s="117">
        <v>0.8</v>
      </c>
      <c r="N49" s="117">
        <v>1.3</v>
      </c>
      <c r="O49" s="118">
        <v>0.5</v>
      </c>
      <c r="P49" s="118">
        <v>1.2</v>
      </c>
      <c r="Q49" s="118" t="s">
        <v>273</v>
      </c>
      <c r="R49" s="118" t="s">
        <v>279</v>
      </c>
      <c r="S49" s="118">
        <v>24.58</v>
      </c>
      <c r="T49" s="147">
        <f t="shared" si="3"/>
        <v>3</v>
      </c>
      <c r="U49" s="147">
        <f>IF((VLOOKUP(Q49,MogulsDD!$A$1:$C$1000,3,FALSE)*(M49+O49)/2)&gt;3.75,3.75,VLOOKUP(Q49,MogulsDD!$A$1:$C$1000,3,FALSE)*(M49+O49)/2)+IF((VLOOKUP(R49,MogulsDD!$A$1:$C$1000,3,FALSE)*(N49+P49)/2)&gt;3.75,3.75,VLOOKUP(R49,MogulsDD!$A$1:$C$1000,3,FALSE)*(N49+P49)/2)</f>
        <v>1.25</v>
      </c>
      <c r="V49" s="147">
        <f t="shared" si="5"/>
        <v>1.212293682413204</v>
      </c>
      <c r="W49" s="148">
        <v>5.462293682413204</v>
      </c>
      <c r="X49" s="38"/>
      <c r="Y49" s="38"/>
      <c r="Z49" s="38"/>
      <c r="AA49" s="38"/>
      <c r="AB49" s="39"/>
      <c r="AC49" s="38"/>
      <c r="AD49" s="38"/>
      <c r="AE49" s="38"/>
      <c r="AF49" s="38"/>
      <c r="AG49" s="39"/>
      <c r="AH49" s="38"/>
      <c r="AI49" s="38"/>
      <c r="AJ49" s="38"/>
      <c r="AK49" s="38"/>
      <c r="AL49" s="39"/>
      <c r="AM49" s="44"/>
      <c r="AN49" s="39"/>
      <c r="AO49" s="37"/>
      <c r="AP49" s="37"/>
    </row>
    <row r="50" spans="1:42">
      <c r="A50" s="112">
        <v>21</v>
      </c>
      <c r="B50" s="124">
        <v>20</v>
      </c>
      <c r="C50" s="113">
        <v>22</v>
      </c>
      <c r="D50" s="113" t="s">
        <v>107</v>
      </c>
      <c r="E50" s="113"/>
      <c r="F50" s="113" t="s">
        <v>108</v>
      </c>
      <c r="G50" s="113" t="s">
        <v>122</v>
      </c>
      <c r="H50" s="113" t="s">
        <v>109</v>
      </c>
      <c r="I50" s="115" t="s">
        <v>103</v>
      </c>
      <c r="J50" s="125">
        <v>1.2</v>
      </c>
      <c r="K50" s="117">
        <v>1.3</v>
      </c>
      <c r="L50" s="117">
        <v>1.3</v>
      </c>
      <c r="M50" s="117">
        <v>0.3</v>
      </c>
      <c r="N50" s="117">
        <v>0.2</v>
      </c>
      <c r="O50" s="118">
        <v>0.5</v>
      </c>
      <c r="P50" s="118">
        <v>0.2</v>
      </c>
      <c r="Q50" s="118" t="s">
        <v>282</v>
      </c>
      <c r="R50" s="118" t="s">
        <v>275</v>
      </c>
      <c r="S50" s="118">
        <v>26.28</v>
      </c>
      <c r="T50" s="147">
        <f t="shared" si="3"/>
        <v>3.8</v>
      </c>
      <c r="U50" s="147">
        <f>IF((VLOOKUP(Q50,MogulsDD!$A$1:$C$1000,3,FALSE)*(M50+O50)/2)&gt;3.75,3.75,VLOOKUP(Q50,MogulsDD!$A$1:$C$1000,3,FALSE)*(M50+O50)/2)+IF((VLOOKUP(R50,MogulsDD!$A$1:$C$1000,3,FALSE)*(N50+P50)/2)&gt;3.75,3.75,VLOOKUP(R50,MogulsDD!$A$1:$C$1000,3,FALSE)*(N50+P50)/2)</f>
        <v>0.40600000000000003</v>
      </c>
      <c r="V50" s="147">
        <f t="shared" si="5"/>
        <v>5.1223676721683375E-2</v>
      </c>
      <c r="W50" s="148">
        <v>4.2572236767216838</v>
      </c>
      <c r="X50" s="38"/>
      <c r="Y50" s="38"/>
      <c r="Z50" s="38"/>
      <c r="AA50" s="38"/>
      <c r="AB50" s="39"/>
      <c r="AC50" s="38"/>
      <c r="AD50" s="38"/>
      <c r="AE50" s="38"/>
      <c r="AF50" s="38"/>
      <c r="AG50" s="39"/>
      <c r="AH50" s="38"/>
      <c r="AI50" s="38"/>
      <c r="AJ50" s="38"/>
      <c r="AK50" s="38"/>
      <c r="AL50" s="39"/>
      <c r="AM50" s="44"/>
      <c r="AN50" s="39"/>
      <c r="AO50" s="37"/>
      <c r="AP50" s="37"/>
    </row>
    <row r="51" spans="1:42">
      <c r="A51" s="112">
        <v>22</v>
      </c>
      <c r="B51" s="124">
        <v>2</v>
      </c>
      <c r="C51" s="113">
        <v>12</v>
      </c>
      <c r="D51" s="113" t="s">
        <v>191</v>
      </c>
      <c r="E51" s="113"/>
      <c r="F51" s="113" t="s">
        <v>192</v>
      </c>
      <c r="G51" s="113" t="s">
        <v>122</v>
      </c>
      <c r="H51" s="113" t="s">
        <v>193</v>
      </c>
      <c r="I51" s="115" t="s">
        <v>137</v>
      </c>
      <c r="J51" s="125">
        <v>0.1</v>
      </c>
      <c r="K51" s="117">
        <v>0.1</v>
      </c>
      <c r="L51" s="117">
        <v>0.1</v>
      </c>
      <c r="M51" s="117">
        <v>1.3</v>
      </c>
      <c r="N51" s="117">
        <v>0.8</v>
      </c>
      <c r="O51" s="118">
        <v>1.1000000000000001</v>
      </c>
      <c r="P51" s="118">
        <v>1</v>
      </c>
      <c r="Q51" s="118" t="s">
        <v>279</v>
      </c>
      <c r="R51" s="118" t="s">
        <v>273</v>
      </c>
      <c r="S51" s="118">
        <v>31.42</v>
      </c>
      <c r="T51" s="147">
        <f t="shared" si="3"/>
        <v>0.30000000000000004</v>
      </c>
      <c r="U51" s="147">
        <f>IF((VLOOKUP(Q51,MogulsDD!$A$1:$C$1000,3,FALSE)*(M51+O51)/2)&gt;3.75,3.75,VLOOKUP(Q51,MogulsDD!$A$1:$C$1000,3,FALSE)*(M51+O51)/2)+IF((VLOOKUP(R51,MogulsDD!$A$1:$C$1000,3,FALSE)*(N51+P51)/2)&gt;3.75,3.75,VLOOKUP(R51,MogulsDD!$A$1:$C$1000,3,FALSE)*(N51+P51)/2)</f>
        <v>1.407</v>
      </c>
      <c r="V51" s="147">
        <f t="shared" si="5"/>
        <v>0</v>
      </c>
      <c r="W51" s="148">
        <v>1.7070000000000001</v>
      </c>
      <c r="X51" s="38"/>
      <c r="Y51" s="38"/>
      <c r="Z51" s="38"/>
      <c r="AA51" s="38"/>
      <c r="AB51" s="39"/>
      <c r="AC51" s="38"/>
      <c r="AD51" s="38"/>
      <c r="AE51" s="38"/>
      <c r="AF51" s="38"/>
      <c r="AG51" s="39"/>
      <c r="AH51" s="38"/>
      <c r="AI51" s="38"/>
      <c r="AJ51" s="38"/>
      <c r="AK51" s="38"/>
      <c r="AL51" s="39"/>
      <c r="AM51" s="44"/>
      <c r="AN51" s="39"/>
      <c r="AO51" s="37"/>
      <c r="AP51" s="37"/>
    </row>
    <row r="52" spans="1:42"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7"/>
      <c r="AP52" s="37"/>
    </row>
    <row r="53" spans="1:42"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7"/>
      <c r="AP53" s="37"/>
    </row>
    <row r="54" spans="1:42"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7"/>
      <c r="AP54" s="37"/>
    </row>
    <row r="55" spans="1:42"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7"/>
      <c r="AP55" s="37"/>
    </row>
    <row r="56" spans="1:42"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7"/>
      <c r="AP56" s="37"/>
    </row>
    <row r="57" spans="1:42"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7"/>
      <c r="AP57" s="37"/>
    </row>
    <row r="58" spans="1:42"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7"/>
      <c r="AP58" s="37"/>
    </row>
    <row r="59" spans="1:42"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7"/>
      <c r="AP59" s="37"/>
    </row>
    <row r="60" spans="1:42"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7"/>
      <c r="AP60" s="37"/>
    </row>
    <row r="61" spans="1:42"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7"/>
      <c r="AP61" s="37"/>
    </row>
    <row r="62" spans="1:42"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7"/>
      <c r="AP62" s="37"/>
    </row>
    <row r="63" spans="1:42"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7"/>
      <c r="AP63" s="37"/>
    </row>
    <row r="64" spans="1:42"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7"/>
      <c r="AP64" s="37"/>
    </row>
    <row r="65" spans="24:42"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7"/>
      <c r="AP65" s="37"/>
    </row>
    <row r="66" spans="24:42"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7"/>
      <c r="AP66" s="37"/>
    </row>
    <row r="67" spans="24:42"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7"/>
      <c r="AP67" s="37"/>
    </row>
    <row r="68" spans="24:42"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7"/>
      <c r="AP68" s="37"/>
    </row>
    <row r="69" spans="24:42"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7"/>
      <c r="AP69" s="37"/>
    </row>
    <row r="70" spans="24:42"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7"/>
      <c r="AP70" s="37"/>
    </row>
    <row r="71" spans="24:42"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7"/>
      <c r="AP71" s="37"/>
    </row>
    <row r="72" spans="24:42"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</row>
    <row r="73" spans="24:42"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</row>
    <row r="74" spans="24:42"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</row>
    <row r="75" spans="24:42"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</row>
    <row r="76" spans="24:42"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</row>
    <row r="77" spans="24:42"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</row>
    <row r="78" spans="24:42"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</row>
    <row r="79" spans="24:42"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</row>
    <row r="80" spans="24:42"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</row>
    <row r="81" spans="24:42"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</row>
    <row r="82" spans="24:42"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</row>
    <row r="83" spans="24:42"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</row>
    <row r="84" spans="24:42"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</row>
    <row r="85" spans="24:42"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</row>
    <row r="86" spans="24:42"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</row>
    <row r="87" spans="24:42"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</row>
    <row r="88" spans="24:42"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</row>
    <row r="89" spans="24:42"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</row>
    <row r="90" spans="24:42"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</row>
    <row r="91" spans="24:42"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</row>
    <row r="92" spans="24:42"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</row>
    <row r="93" spans="24:42"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</row>
  </sheetData>
  <sortState ref="B30:W35">
    <sortCondition descending="1" ref="W30:W35"/>
  </sortState>
  <mergeCells count="12">
    <mergeCell ref="A7:B7"/>
    <mergeCell ref="C7:F7"/>
    <mergeCell ref="A8:B8"/>
    <mergeCell ref="C8:F8"/>
    <mergeCell ref="A9:B9"/>
    <mergeCell ref="C9:F9"/>
    <mergeCell ref="A1:I1"/>
    <mergeCell ref="A2:I2"/>
    <mergeCell ref="A5:B5"/>
    <mergeCell ref="C5:F5"/>
    <mergeCell ref="A6:B6"/>
    <mergeCell ref="C6:F6"/>
  </mergeCells>
  <hyperlinks>
    <hyperlink ref="J2" r:id="rId1" display="http://data.fis-ski.com/dynamic/event-details.html?event_id=36203&amp;cal_suchsector=FS"/>
    <hyperlink ref="L2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European Moguls Singles Q1</vt:lpstr>
      <vt:lpstr>European Moguls Q2</vt:lpstr>
      <vt:lpstr>Eueopean Moguls F1</vt:lpstr>
      <vt:lpstr>European Moguls F2</vt:lpstr>
      <vt:lpstr>European FIS Moguls Singles</vt:lpstr>
      <vt:lpstr>British Moguls Q1</vt:lpstr>
      <vt:lpstr>British Moguls Q2</vt:lpstr>
      <vt:lpstr>British Moguls F1</vt:lpstr>
      <vt:lpstr>British Moguls F2</vt:lpstr>
      <vt:lpstr>British Moguls FIS Version</vt:lpstr>
      <vt:lpstr>European Duals Qualification</vt:lpstr>
      <vt:lpstr>European Duals Men</vt:lpstr>
      <vt:lpstr>Eueopean Duals Ladies</vt:lpstr>
      <vt:lpstr>British Duals Qualification</vt:lpstr>
      <vt:lpstr>British Duals Men</vt:lpstr>
      <vt:lpstr>British Duals Ladies</vt:lpstr>
      <vt:lpstr>MogulsDD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2010-03-25T18:34:36Z</cp:lastPrinted>
  <dcterms:created xsi:type="dcterms:W3CDTF">2009-04-02T16:24:22Z</dcterms:created>
  <dcterms:modified xsi:type="dcterms:W3CDTF">2014-10-03T14:11:40Z</dcterms:modified>
</cp:coreProperties>
</file>