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Timed" sheetId="1" r:id="rId1"/>
    <sheet name="H2H" sheetId="2" r:id="rId2"/>
    <sheet name="H2H points" sheetId="3" r:id="rId3"/>
  </sheets>
  <definedNames/>
  <calcPr fullCalcOnLoad="1"/>
</workbook>
</file>

<file path=xl/sharedStrings.xml><?xml version="1.0" encoding="utf-8"?>
<sst xmlns="http://schemas.openxmlformats.org/spreadsheetml/2006/main" count="1230" uniqueCount="219">
  <si>
    <t>Individual</t>
  </si>
  <si>
    <t>Bib No</t>
  </si>
  <si>
    <t>Surname</t>
  </si>
  <si>
    <t>Category</t>
  </si>
  <si>
    <t>Club</t>
  </si>
  <si>
    <t>Sex</t>
  </si>
  <si>
    <t>U8 Female</t>
  </si>
  <si>
    <t>U8 Male</t>
  </si>
  <si>
    <t>U10 Female</t>
  </si>
  <si>
    <t>U10 Male</t>
  </si>
  <si>
    <t>U12 Female</t>
  </si>
  <si>
    <t>U12 Male</t>
  </si>
  <si>
    <t>U14 Female</t>
  </si>
  <si>
    <t>U14 Male</t>
  </si>
  <si>
    <t>U16 Female</t>
  </si>
  <si>
    <t>U16 Male</t>
  </si>
  <si>
    <t>U19 Female</t>
  </si>
  <si>
    <t>U19 Male</t>
  </si>
  <si>
    <t>U35 Female</t>
  </si>
  <si>
    <t>U35 Male</t>
  </si>
  <si>
    <t>U50 Female</t>
  </si>
  <si>
    <t>U50 Male</t>
  </si>
  <si>
    <t>X50 female</t>
  </si>
  <si>
    <t>X50 Male</t>
  </si>
  <si>
    <t>First Name</t>
  </si>
  <si>
    <t>Timed 1</t>
  </si>
  <si>
    <t>Timed 2</t>
  </si>
  <si>
    <t>Best</t>
  </si>
  <si>
    <t>Points</t>
  </si>
  <si>
    <t>Group</t>
  </si>
  <si>
    <t xml:space="preserve">Grp </t>
  </si>
  <si>
    <t>GRP Points</t>
  </si>
  <si>
    <t>Total Points</t>
  </si>
  <si>
    <t>Baker</t>
  </si>
  <si>
    <t>Molly-Beth</t>
  </si>
  <si>
    <t>U08</t>
  </si>
  <si>
    <t>Sharks</t>
  </si>
  <si>
    <t>F</t>
  </si>
  <si>
    <t>Barrow</t>
  </si>
  <si>
    <t>Evie</t>
  </si>
  <si>
    <t>Kendal</t>
  </si>
  <si>
    <t>Brownett</t>
  </si>
  <si>
    <t>Emily</t>
  </si>
  <si>
    <t>Hudson</t>
  </si>
  <si>
    <t>Thea</t>
  </si>
  <si>
    <t>Marsden</t>
  </si>
  <si>
    <t>Amy</t>
  </si>
  <si>
    <t>McMurray</t>
  </si>
  <si>
    <t>Hannah</t>
  </si>
  <si>
    <t>Simpkin</t>
  </si>
  <si>
    <t>Elanna</t>
  </si>
  <si>
    <t>Slater</t>
  </si>
  <si>
    <t>Grace</t>
  </si>
  <si>
    <t>Taylor</t>
  </si>
  <si>
    <t>Claire</t>
  </si>
  <si>
    <t xml:space="preserve"> sharks</t>
  </si>
  <si>
    <t>Black</t>
  </si>
  <si>
    <t>Oliver</t>
  </si>
  <si>
    <t>M</t>
  </si>
  <si>
    <t>Hall</t>
  </si>
  <si>
    <t>William</t>
  </si>
  <si>
    <t>Johnson</t>
  </si>
  <si>
    <t>Alastair</t>
  </si>
  <si>
    <t>Fergal</t>
  </si>
  <si>
    <t>Moulding</t>
  </si>
  <si>
    <t>Theo</t>
  </si>
  <si>
    <t>Rogerson</t>
  </si>
  <si>
    <t>Wozencroft</t>
  </si>
  <si>
    <t>Daniel</t>
  </si>
  <si>
    <t>Justice</t>
  </si>
  <si>
    <t>Genevieve</t>
  </si>
  <si>
    <t>U10</t>
  </si>
  <si>
    <t>Laben</t>
  </si>
  <si>
    <t>Eliza</t>
  </si>
  <si>
    <t>Lee</t>
  </si>
  <si>
    <t>Francesca</t>
  </si>
  <si>
    <t xml:space="preserve">Isobel </t>
  </si>
  <si>
    <t>Brown</t>
  </si>
  <si>
    <t>Cameron</t>
  </si>
  <si>
    <t>sharks</t>
  </si>
  <si>
    <t>Eyre</t>
  </si>
  <si>
    <t>Harry</t>
  </si>
  <si>
    <t>Genther</t>
  </si>
  <si>
    <t>Joshua</t>
  </si>
  <si>
    <t>Hanlon</t>
  </si>
  <si>
    <t>George</t>
  </si>
  <si>
    <t>stoke</t>
  </si>
  <si>
    <t>Hinchliffe</t>
  </si>
  <si>
    <t>Jack</t>
  </si>
  <si>
    <t>Ben</t>
  </si>
  <si>
    <t>Callum</t>
  </si>
  <si>
    <t>Joseph</t>
  </si>
  <si>
    <t>James</t>
  </si>
  <si>
    <t>Handford-Styring</t>
  </si>
  <si>
    <t>U12</t>
  </si>
  <si>
    <t>Head</t>
  </si>
  <si>
    <t>Katy</t>
  </si>
  <si>
    <t>oval</t>
  </si>
  <si>
    <t>Spearpoint</t>
  </si>
  <si>
    <t>The Oval</t>
  </si>
  <si>
    <t>Adams</t>
  </si>
  <si>
    <t>Matthew Christopher</t>
  </si>
  <si>
    <t>Askew</t>
  </si>
  <si>
    <t>SHARKS</t>
  </si>
  <si>
    <t>Zach</t>
  </si>
  <si>
    <t>Farr</t>
  </si>
  <si>
    <t>Darren</t>
  </si>
  <si>
    <t>Whales</t>
  </si>
  <si>
    <t>Hallett</t>
  </si>
  <si>
    <t>Emma</t>
  </si>
  <si>
    <t>U14</t>
  </si>
  <si>
    <t>Oval</t>
  </si>
  <si>
    <t>Simpson</t>
  </si>
  <si>
    <t>Megan</t>
  </si>
  <si>
    <t>White</t>
  </si>
  <si>
    <t>Victoria</t>
  </si>
  <si>
    <t>Wilson</t>
  </si>
  <si>
    <t>Charlote</t>
  </si>
  <si>
    <t>Jake</t>
  </si>
  <si>
    <t>Ball</t>
  </si>
  <si>
    <t>Thomas</t>
  </si>
  <si>
    <t>Bishop</t>
  </si>
  <si>
    <t>Angus</t>
  </si>
  <si>
    <t>Heywood-Alexander</t>
  </si>
  <si>
    <t>Marcus</t>
  </si>
  <si>
    <t>Jones</t>
  </si>
  <si>
    <t>Alexander</t>
  </si>
  <si>
    <t>Medley</t>
  </si>
  <si>
    <t>Carl David</t>
  </si>
  <si>
    <t>Smith</t>
  </si>
  <si>
    <t>Thompson</t>
  </si>
  <si>
    <t>Peter</t>
  </si>
  <si>
    <t>Tomlinson</t>
  </si>
  <si>
    <t>Josef</t>
  </si>
  <si>
    <t>Wahlers</t>
  </si>
  <si>
    <t>Josh</t>
  </si>
  <si>
    <t xml:space="preserve">Sharks </t>
  </si>
  <si>
    <t>Holly</t>
  </si>
  <si>
    <t>U16</t>
  </si>
  <si>
    <t>Clifford</t>
  </si>
  <si>
    <t>Samantha</t>
  </si>
  <si>
    <t>Cutler</t>
  </si>
  <si>
    <t>Gabby</t>
  </si>
  <si>
    <t>Dawson</t>
  </si>
  <si>
    <t>Laura</t>
  </si>
  <si>
    <t>OVAL</t>
  </si>
  <si>
    <t>lamb</t>
  </si>
  <si>
    <t>katie</t>
  </si>
  <si>
    <t>Shirt</t>
  </si>
  <si>
    <t>Danielle</t>
  </si>
  <si>
    <t>Wilcockson</t>
  </si>
  <si>
    <t>Melanie</t>
  </si>
  <si>
    <t>Furley</t>
  </si>
  <si>
    <t>David</t>
  </si>
  <si>
    <t>Haywood-Alexander</t>
  </si>
  <si>
    <t>Byron</t>
  </si>
  <si>
    <t>Nathan</t>
  </si>
  <si>
    <t>McClave</t>
  </si>
  <si>
    <t>Steven</t>
  </si>
  <si>
    <t>McMullin</t>
  </si>
  <si>
    <t>Powell</t>
  </si>
  <si>
    <t>Burkitt</t>
  </si>
  <si>
    <t>Jess</t>
  </si>
  <si>
    <t>U19</t>
  </si>
  <si>
    <t>Kate</t>
  </si>
  <si>
    <t>Rogers</t>
  </si>
  <si>
    <t>Michael</t>
  </si>
  <si>
    <t>Yardley</t>
  </si>
  <si>
    <t>U35</t>
  </si>
  <si>
    <t>Roberts</t>
  </si>
  <si>
    <t xml:space="preserve">Gail </t>
  </si>
  <si>
    <t>Mark</t>
  </si>
  <si>
    <t>kendal</t>
  </si>
  <si>
    <t>Andy</t>
  </si>
  <si>
    <t>U50</t>
  </si>
  <si>
    <t>Steve</t>
  </si>
  <si>
    <t>Tim</t>
  </si>
  <si>
    <t>Richard</t>
  </si>
  <si>
    <t>Tony</t>
  </si>
  <si>
    <t>Paul</t>
  </si>
  <si>
    <t>Nick</t>
  </si>
  <si>
    <t>Duncan</t>
  </si>
  <si>
    <t>John</t>
  </si>
  <si>
    <t>X50</t>
  </si>
  <si>
    <t>Slade</t>
  </si>
  <si>
    <t>Marples</t>
  </si>
  <si>
    <t>Alex</t>
  </si>
  <si>
    <t>Phil</t>
  </si>
  <si>
    <t>Mathews</t>
  </si>
  <si>
    <t>Brandon</t>
  </si>
  <si>
    <t>Stoke</t>
  </si>
  <si>
    <t>Grant</t>
  </si>
  <si>
    <t>Joe</t>
  </si>
  <si>
    <t>DNS</t>
  </si>
  <si>
    <t>DSQ</t>
  </si>
  <si>
    <t>Fall</t>
  </si>
  <si>
    <t>GRP 22</t>
  </si>
  <si>
    <t>GRP 21</t>
  </si>
  <si>
    <t xml:space="preserve">GRP20 </t>
  </si>
  <si>
    <t>GRP 19</t>
  </si>
  <si>
    <t>Grp 18</t>
  </si>
  <si>
    <t>Grp 17</t>
  </si>
  <si>
    <t>Grp 16</t>
  </si>
  <si>
    <t>Grp 15</t>
  </si>
  <si>
    <t>Grp 14</t>
  </si>
  <si>
    <t>Grp 13</t>
  </si>
  <si>
    <t>Grp 12</t>
  </si>
  <si>
    <t>Grp 11</t>
  </si>
  <si>
    <t>Grp 10</t>
  </si>
  <si>
    <t>Grp 9</t>
  </si>
  <si>
    <t>Grp 8</t>
  </si>
  <si>
    <t>Grp 7</t>
  </si>
  <si>
    <t>Grp 6</t>
  </si>
  <si>
    <t>Grp 5</t>
  </si>
  <si>
    <t>Grp 4</t>
  </si>
  <si>
    <t>Grp 3</t>
  </si>
  <si>
    <t>Grp 2</t>
  </si>
  <si>
    <t xml:space="preserve">Grp1 </t>
  </si>
  <si>
    <t xml:space="preserve">Matthew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</si>
</sst>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4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2" sqref="H22"/>
    </sheetView>
  </sheetViews>
  <sheetFormatPr defaultColWidth="9.140625" defaultRowHeight="12.75"/>
  <cols>
    <col min="1" max="1" width="11.7109375" style="0" bestFit="1" customWidth="1"/>
    <col min="2" max="2" width="9.140625" style="3" customWidth="1"/>
    <col min="3" max="3" width="17.7109375" style="0" bestFit="1" customWidth="1"/>
    <col min="4" max="4" width="18.28125" style="0" bestFit="1" customWidth="1"/>
    <col min="6" max="6" width="9.8515625" style="0" bestFit="1" customWidth="1"/>
    <col min="7" max="7" width="4.57421875" style="0" bestFit="1" customWidth="1"/>
    <col min="8" max="10" width="9.140625" style="14" customWidth="1"/>
  </cols>
  <sheetData>
    <row r="1" spans="1:11" s="1" customFormat="1" ht="12.75">
      <c r="A1" s="1" t="s">
        <v>0</v>
      </c>
      <c r="B1" s="1" t="s">
        <v>1</v>
      </c>
      <c r="C1" s="1" t="s">
        <v>2</v>
      </c>
      <c r="D1" s="1" t="s">
        <v>24</v>
      </c>
      <c r="E1" s="1" t="s">
        <v>3</v>
      </c>
      <c r="F1" s="1" t="s">
        <v>4</v>
      </c>
      <c r="G1" s="1" t="s">
        <v>5</v>
      </c>
      <c r="H1" s="13" t="s">
        <v>25</v>
      </c>
      <c r="I1" s="13" t="s">
        <v>26</v>
      </c>
      <c r="J1" s="13" t="s">
        <v>27</v>
      </c>
      <c r="K1" s="1" t="s">
        <v>28</v>
      </c>
    </row>
    <row r="2" spans="1:7" ht="12.75">
      <c r="A2" s="1" t="s">
        <v>6</v>
      </c>
      <c r="B2" s="1"/>
      <c r="C2" s="1"/>
      <c r="D2" s="1"/>
      <c r="E2" s="1"/>
      <c r="F2" s="1"/>
      <c r="G2" s="1"/>
    </row>
    <row r="3" spans="1:11" ht="12.75">
      <c r="A3" s="7">
        <v>250</v>
      </c>
      <c r="B3" s="7">
        <v>9</v>
      </c>
      <c r="C3" s="7" t="s">
        <v>53</v>
      </c>
      <c r="D3" s="7" t="s">
        <v>54</v>
      </c>
      <c r="E3" s="7" t="s">
        <v>35</v>
      </c>
      <c r="F3" s="7" t="s">
        <v>36</v>
      </c>
      <c r="G3" s="7" t="s">
        <v>37</v>
      </c>
      <c r="H3" s="14">
        <v>23.12</v>
      </c>
      <c r="I3" s="14">
        <v>23.57</v>
      </c>
      <c r="J3" s="14">
        <f aca="true" t="shared" si="0" ref="J3:J11">MIN(H3:I3)</f>
        <v>23.12</v>
      </c>
      <c r="K3">
        <v>30</v>
      </c>
    </row>
    <row r="4" spans="1:11" ht="12.75">
      <c r="A4" s="2">
        <v>207</v>
      </c>
      <c r="B4" s="2">
        <v>1</v>
      </c>
      <c r="C4" s="2" t="s">
        <v>33</v>
      </c>
      <c r="D4" s="2" t="s">
        <v>34</v>
      </c>
      <c r="E4" s="2" t="s">
        <v>35</v>
      </c>
      <c r="F4" s="2" t="s">
        <v>36</v>
      </c>
      <c r="G4" s="2" t="s">
        <v>37</v>
      </c>
      <c r="H4" s="14">
        <v>24.5</v>
      </c>
      <c r="I4" s="14">
        <v>24.23</v>
      </c>
      <c r="J4" s="14">
        <f t="shared" si="0"/>
        <v>24.23</v>
      </c>
      <c r="K4">
        <v>29</v>
      </c>
    </row>
    <row r="5" spans="1:11" ht="12.75">
      <c r="A5" s="3">
        <v>249</v>
      </c>
      <c r="B5" s="3">
        <v>6</v>
      </c>
      <c r="C5" s="3" t="s">
        <v>47</v>
      </c>
      <c r="D5" s="3" t="s">
        <v>48</v>
      </c>
      <c r="E5" s="3" t="s">
        <v>35</v>
      </c>
      <c r="F5" s="3" t="s">
        <v>36</v>
      </c>
      <c r="G5" s="3" t="s">
        <v>37</v>
      </c>
      <c r="H5" s="14">
        <v>25.12</v>
      </c>
      <c r="I5" s="14">
        <v>27.3</v>
      </c>
      <c r="J5" s="14">
        <f t="shared" si="0"/>
        <v>25.12</v>
      </c>
      <c r="K5">
        <v>28</v>
      </c>
    </row>
    <row r="6" spans="1:11" s="8" customFormat="1" ht="12.75">
      <c r="A6" s="3">
        <v>227</v>
      </c>
      <c r="B6" s="3">
        <v>5</v>
      </c>
      <c r="C6" s="3" t="s">
        <v>45</v>
      </c>
      <c r="D6" s="3" t="s">
        <v>46</v>
      </c>
      <c r="E6" s="3" t="s">
        <v>35</v>
      </c>
      <c r="F6" s="3" t="s">
        <v>36</v>
      </c>
      <c r="G6" s="3" t="s">
        <v>37</v>
      </c>
      <c r="H6" s="14">
        <v>26.1</v>
      </c>
      <c r="I6" s="14">
        <v>25.73</v>
      </c>
      <c r="J6" s="14">
        <f t="shared" si="0"/>
        <v>25.73</v>
      </c>
      <c r="K6" s="8">
        <v>27</v>
      </c>
    </row>
    <row r="7" spans="1:11" ht="12.75">
      <c r="A7" s="3">
        <v>192</v>
      </c>
      <c r="B7" s="3">
        <v>8</v>
      </c>
      <c r="C7" s="3" t="s">
        <v>51</v>
      </c>
      <c r="D7" s="3" t="s">
        <v>52</v>
      </c>
      <c r="E7" s="3" t="s">
        <v>35</v>
      </c>
      <c r="F7" s="3" t="s">
        <v>36</v>
      </c>
      <c r="G7" s="3" t="s">
        <v>37</v>
      </c>
      <c r="H7" s="14">
        <v>27.79</v>
      </c>
      <c r="I7" s="14">
        <v>27.44</v>
      </c>
      <c r="J7" s="14">
        <f t="shared" si="0"/>
        <v>27.44</v>
      </c>
      <c r="K7" s="16">
        <v>26</v>
      </c>
    </row>
    <row r="8" spans="1:11" ht="12.75">
      <c r="A8" s="3">
        <v>220</v>
      </c>
      <c r="B8" s="3">
        <v>7</v>
      </c>
      <c r="C8" s="3" t="s">
        <v>49</v>
      </c>
      <c r="D8" s="3" t="s">
        <v>50</v>
      </c>
      <c r="E8" s="3" t="s">
        <v>35</v>
      </c>
      <c r="F8" s="3" t="s">
        <v>55</v>
      </c>
      <c r="G8" s="3" t="s">
        <v>37</v>
      </c>
      <c r="H8" s="14">
        <v>29.29</v>
      </c>
      <c r="I8" s="14">
        <v>28.28</v>
      </c>
      <c r="J8" s="14">
        <f t="shared" si="0"/>
        <v>28.28</v>
      </c>
      <c r="K8" s="16">
        <v>25</v>
      </c>
    </row>
    <row r="9" spans="1:11" ht="12.75">
      <c r="A9" s="2">
        <v>290</v>
      </c>
      <c r="B9" s="2">
        <v>2</v>
      </c>
      <c r="C9" s="2" t="s">
        <v>38</v>
      </c>
      <c r="D9" s="2" t="s">
        <v>39</v>
      </c>
      <c r="E9" s="2" t="s">
        <v>35</v>
      </c>
      <c r="F9" s="2" t="s">
        <v>40</v>
      </c>
      <c r="G9" s="2" t="s">
        <v>37</v>
      </c>
      <c r="H9" s="14">
        <v>28.41</v>
      </c>
      <c r="I9" s="14">
        <v>29.3</v>
      </c>
      <c r="J9" s="14">
        <f t="shared" si="0"/>
        <v>28.41</v>
      </c>
      <c r="K9" s="16">
        <v>24</v>
      </c>
    </row>
    <row r="10" spans="1:11" ht="12.75">
      <c r="A10" s="3">
        <v>195</v>
      </c>
      <c r="B10" s="3">
        <v>4</v>
      </c>
      <c r="C10" s="3" t="s">
        <v>43</v>
      </c>
      <c r="D10" s="3" t="s">
        <v>44</v>
      </c>
      <c r="E10" s="3" t="s">
        <v>35</v>
      </c>
      <c r="F10" s="3" t="s">
        <v>36</v>
      </c>
      <c r="G10" s="3" t="s">
        <v>37</v>
      </c>
      <c r="H10" s="15">
        <v>30.17</v>
      </c>
      <c r="I10" s="51" t="s">
        <v>195</v>
      </c>
      <c r="J10" s="14">
        <f t="shared" si="0"/>
        <v>30.17</v>
      </c>
      <c r="K10" s="16">
        <v>23</v>
      </c>
    </row>
    <row r="11" spans="1:11" ht="12.75">
      <c r="A11" s="3">
        <v>254</v>
      </c>
      <c r="B11" s="3">
        <v>3</v>
      </c>
      <c r="C11" s="3" t="s">
        <v>41</v>
      </c>
      <c r="D11" s="3" t="s">
        <v>42</v>
      </c>
      <c r="E11" s="3" t="s">
        <v>35</v>
      </c>
      <c r="F11" s="3" t="s">
        <v>36</v>
      </c>
      <c r="G11" s="3" t="s">
        <v>37</v>
      </c>
      <c r="H11" s="14">
        <v>31.37</v>
      </c>
      <c r="I11" s="50" t="s">
        <v>194</v>
      </c>
      <c r="J11" s="14">
        <f t="shared" si="0"/>
        <v>31.37</v>
      </c>
      <c r="K11" s="16">
        <v>22</v>
      </c>
    </row>
    <row r="12" spans="1:11" ht="12.75">
      <c r="A12" s="3"/>
      <c r="C12" s="3"/>
      <c r="D12" s="3"/>
      <c r="E12" s="3"/>
      <c r="F12" s="3"/>
      <c r="G12" s="3"/>
      <c r="K12" s="16"/>
    </row>
    <row r="13" spans="1:11" ht="12.75">
      <c r="A13" s="3"/>
      <c r="C13" s="3"/>
      <c r="D13" s="3"/>
      <c r="E13" s="3"/>
      <c r="F13" s="3"/>
      <c r="G13" s="3"/>
      <c r="K13" s="16"/>
    </row>
    <row r="14" spans="1:11" ht="13.5" thickBot="1">
      <c r="A14" s="4"/>
      <c r="B14" s="4"/>
      <c r="C14" s="4"/>
      <c r="D14" s="4"/>
      <c r="E14" s="4"/>
      <c r="F14" s="4"/>
      <c r="G14" s="4"/>
      <c r="H14" s="17"/>
      <c r="I14" s="17"/>
      <c r="J14" s="17"/>
      <c r="K14" s="18"/>
    </row>
    <row r="15" spans="1:7" ht="12.75">
      <c r="A15" s="1" t="s">
        <v>7</v>
      </c>
      <c r="C15" s="3"/>
      <c r="D15" s="3"/>
      <c r="E15" s="3"/>
      <c r="F15" s="3"/>
      <c r="G15" s="3"/>
    </row>
    <row r="16" spans="1:11" ht="12.75">
      <c r="A16" s="6">
        <v>214</v>
      </c>
      <c r="B16" s="6">
        <v>16</v>
      </c>
      <c r="C16" s="6" t="s">
        <v>67</v>
      </c>
      <c r="D16" s="6" t="s">
        <v>68</v>
      </c>
      <c r="E16" s="6" t="s">
        <v>35</v>
      </c>
      <c r="F16" s="6" t="s">
        <v>36</v>
      </c>
      <c r="G16" s="6" t="s">
        <v>58</v>
      </c>
      <c r="H16" s="14">
        <v>24.05</v>
      </c>
      <c r="I16" s="14">
        <v>22.58</v>
      </c>
      <c r="J16" s="14">
        <f aca="true" t="shared" si="1" ref="J16:J21">MIN(H16:I16)</f>
        <v>22.58</v>
      </c>
      <c r="K16" s="8">
        <v>30</v>
      </c>
    </row>
    <row r="17" spans="1:11" ht="12.75">
      <c r="A17" s="2">
        <v>251</v>
      </c>
      <c r="B17" s="2">
        <v>14</v>
      </c>
      <c r="C17" s="2" t="s">
        <v>64</v>
      </c>
      <c r="D17" s="2" t="s">
        <v>65</v>
      </c>
      <c r="E17" s="2" t="s">
        <v>35</v>
      </c>
      <c r="F17" s="2" t="s">
        <v>36</v>
      </c>
      <c r="G17" s="2" t="s">
        <v>58</v>
      </c>
      <c r="H17" s="15">
        <v>22.95</v>
      </c>
      <c r="I17" s="15">
        <v>22.77</v>
      </c>
      <c r="J17" s="14">
        <f t="shared" si="1"/>
        <v>22.77</v>
      </c>
      <c r="K17">
        <v>29</v>
      </c>
    </row>
    <row r="18" spans="1:11" ht="12.75">
      <c r="A18" s="2">
        <v>226</v>
      </c>
      <c r="B18" s="2">
        <v>13</v>
      </c>
      <c r="C18" s="2" t="s">
        <v>61</v>
      </c>
      <c r="D18" s="2" t="s">
        <v>63</v>
      </c>
      <c r="E18" s="2" t="s">
        <v>35</v>
      </c>
      <c r="F18" s="2" t="s">
        <v>36</v>
      </c>
      <c r="G18" s="2" t="s">
        <v>58</v>
      </c>
      <c r="H18" s="51" t="s">
        <v>194</v>
      </c>
      <c r="I18" s="15">
        <v>23.55</v>
      </c>
      <c r="J18" s="14">
        <f t="shared" si="1"/>
        <v>23.55</v>
      </c>
      <c r="K18">
        <v>28</v>
      </c>
    </row>
    <row r="19" spans="1:11" ht="12.75">
      <c r="A19" s="2">
        <v>235</v>
      </c>
      <c r="B19" s="2">
        <v>11</v>
      </c>
      <c r="C19" s="2" t="s">
        <v>59</v>
      </c>
      <c r="D19" s="2" t="s">
        <v>60</v>
      </c>
      <c r="E19" s="2" t="s">
        <v>35</v>
      </c>
      <c r="F19" s="2" t="s">
        <v>36</v>
      </c>
      <c r="G19" s="2" t="s">
        <v>58</v>
      </c>
      <c r="H19" s="14">
        <v>24.27</v>
      </c>
      <c r="I19" s="50" t="s">
        <v>194</v>
      </c>
      <c r="J19" s="14">
        <f t="shared" si="1"/>
        <v>24.27</v>
      </c>
      <c r="K19">
        <v>27</v>
      </c>
    </row>
    <row r="20" spans="1:11" ht="12.75">
      <c r="A20" s="2">
        <v>240</v>
      </c>
      <c r="B20" s="2">
        <v>15</v>
      </c>
      <c r="C20" s="2" t="s">
        <v>66</v>
      </c>
      <c r="D20" s="2" t="s">
        <v>57</v>
      </c>
      <c r="E20" s="2" t="s">
        <v>35</v>
      </c>
      <c r="F20" s="2" t="s">
        <v>36</v>
      </c>
      <c r="G20" s="2" t="s">
        <v>58</v>
      </c>
      <c r="H20" s="15">
        <v>27.54</v>
      </c>
      <c r="I20" s="15">
        <v>27.62</v>
      </c>
      <c r="J20" s="14">
        <f t="shared" si="1"/>
        <v>27.54</v>
      </c>
      <c r="K20">
        <v>26</v>
      </c>
    </row>
    <row r="21" spans="1:11" ht="12.75">
      <c r="A21" s="2">
        <v>288</v>
      </c>
      <c r="B21" s="2">
        <v>10</v>
      </c>
      <c r="C21" s="2" t="s">
        <v>56</v>
      </c>
      <c r="D21" s="2" t="s">
        <v>57</v>
      </c>
      <c r="E21" s="2" t="s">
        <v>35</v>
      </c>
      <c r="F21" s="2" t="s">
        <v>36</v>
      </c>
      <c r="G21" s="2" t="s">
        <v>58</v>
      </c>
      <c r="H21" s="14">
        <v>39.33</v>
      </c>
      <c r="I21" s="14">
        <v>35.17</v>
      </c>
      <c r="J21" s="14">
        <f t="shared" si="1"/>
        <v>35.17</v>
      </c>
      <c r="K21">
        <v>25</v>
      </c>
    </row>
    <row r="22" spans="1:11" s="8" customFormat="1" ht="12.75">
      <c r="A22" s="2">
        <v>225</v>
      </c>
      <c r="B22" s="2">
        <v>12</v>
      </c>
      <c r="C22" s="2" t="s">
        <v>61</v>
      </c>
      <c r="D22" s="2" t="s">
        <v>62</v>
      </c>
      <c r="E22" s="2" t="s">
        <v>35</v>
      </c>
      <c r="F22" s="2" t="s">
        <v>36</v>
      </c>
      <c r="G22" s="2" t="s">
        <v>58</v>
      </c>
      <c r="H22" s="50" t="s">
        <v>193</v>
      </c>
      <c r="I22" s="50" t="s">
        <v>193</v>
      </c>
      <c r="J22" s="50" t="s">
        <v>193</v>
      </c>
      <c r="K22">
        <v>0</v>
      </c>
    </row>
    <row r="23" spans="1:11" s="8" customFormat="1" ht="13.5" thickBot="1">
      <c r="A23" s="5"/>
      <c r="B23" s="5"/>
      <c r="C23" s="5"/>
      <c r="D23" s="5"/>
      <c r="E23" s="5"/>
      <c r="F23" s="5"/>
      <c r="G23" s="5"/>
      <c r="H23" s="17"/>
      <c r="I23" s="17"/>
      <c r="J23" s="17"/>
      <c r="K23" s="18"/>
    </row>
    <row r="24" spans="1:7" ht="12.75">
      <c r="A24" s="1" t="s">
        <v>8</v>
      </c>
      <c r="C24" s="3"/>
      <c r="D24" s="3"/>
      <c r="E24" s="3"/>
      <c r="F24" s="3"/>
      <c r="G24" s="3"/>
    </row>
    <row r="25" spans="1:11" ht="12.75">
      <c r="A25" s="2">
        <v>187</v>
      </c>
      <c r="B25" s="2">
        <v>19</v>
      </c>
      <c r="C25" s="2" t="s">
        <v>74</v>
      </c>
      <c r="D25" s="2" t="s">
        <v>75</v>
      </c>
      <c r="E25" s="2" t="s">
        <v>71</v>
      </c>
      <c r="F25" s="2" t="s">
        <v>40</v>
      </c>
      <c r="G25" s="2" t="s">
        <v>37</v>
      </c>
      <c r="H25" s="14">
        <v>20.36</v>
      </c>
      <c r="I25" s="14">
        <v>20.85</v>
      </c>
      <c r="J25" s="14">
        <f>MIN(H25:I25)</f>
        <v>20.36</v>
      </c>
      <c r="K25">
        <v>30</v>
      </c>
    </row>
    <row r="26" spans="1:11" ht="12.75">
      <c r="A26" s="3">
        <v>261</v>
      </c>
      <c r="B26" s="3">
        <v>89</v>
      </c>
      <c r="C26" s="3" t="s">
        <v>185</v>
      </c>
      <c r="D26" s="3" t="s">
        <v>186</v>
      </c>
      <c r="E26" s="3" t="s">
        <v>71</v>
      </c>
      <c r="F26" s="3" t="s">
        <v>36</v>
      </c>
      <c r="G26" s="3" t="s">
        <v>37</v>
      </c>
      <c r="H26" s="14">
        <v>20.89</v>
      </c>
      <c r="I26" s="14">
        <v>20.36</v>
      </c>
      <c r="J26" s="14">
        <f>MIN(H26:I26)</f>
        <v>20.36</v>
      </c>
      <c r="K26">
        <v>30</v>
      </c>
    </row>
    <row r="27" spans="1:11" ht="12.75">
      <c r="A27" s="2">
        <v>252</v>
      </c>
      <c r="B27" s="2">
        <v>18</v>
      </c>
      <c r="C27" s="2" t="s">
        <v>72</v>
      </c>
      <c r="D27" s="2" t="s">
        <v>73</v>
      </c>
      <c r="E27" s="2" t="s">
        <v>71</v>
      </c>
      <c r="F27" s="2" t="s">
        <v>36</v>
      </c>
      <c r="G27" s="2" t="s">
        <v>37</v>
      </c>
      <c r="H27" s="14">
        <v>22.17</v>
      </c>
      <c r="I27" s="14">
        <v>21.89</v>
      </c>
      <c r="J27" s="14">
        <f>MIN(H27:I27)</f>
        <v>21.89</v>
      </c>
      <c r="K27">
        <v>29</v>
      </c>
    </row>
    <row r="28" spans="1:11" ht="12.75">
      <c r="A28" s="2">
        <v>297</v>
      </c>
      <c r="B28" s="2">
        <v>21</v>
      </c>
      <c r="C28" s="2" t="s">
        <v>64</v>
      </c>
      <c r="D28" s="2" t="s">
        <v>76</v>
      </c>
      <c r="E28" s="2" t="s">
        <v>71</v>
      </c>
      <c r="F28" s="2" t="s">
        <v>36</v>
      </c>
      <c r="G28" s="2" t="s">
        <v>37</v>
      </c>
      <c r="H28" s="14">
        <v>22.94</v>
      </c>
      <c r="I28" s="14">
        <v>23</v>
      </c>
      <c r="J28" s="14">
        <f>MIN(H28:I28)</f>
        <v>22.94</v>
      </c>
      <c r="K28">
        <v>28</v>
      </c>
    </row>
    <row r="29" spans="1:11" ht="12.75">
      <c r="A29" s="2">
        <v>259</v>
      </c>
      <c r="B29" s="2">
        <v>17</v>
      </c>
      <c r="C29" s="2" t="s">
        <v>69</v>
      </c>
      <c r="D29" s="2" t="s">
        <v>70</v>
      </c>
      <c r="E29" s="2" t="s">
        <v>71</v>
      </c>
      <c r="F29" s="2" t="s">
        <v>36</v>
      </c>
      <c r="G29" s="2" t="s">
        <v>37</v>
      </c>
      <c r="H29" s="14">
        <v>23.17</v>
      </c>
      <c r="I29" s="14">
        <v>23.33</v>
      </c>
      <c r="J29" s="14">
        <f>MIN(H29:I29)</f>
        <v>23.17</v>
      </c>
      <c r="K29">
        <v>27</v>
      </c>
    </row>
    <row r="30" spans="1:11" ht="13.5" thickBot="1">
      <c r="A30" s="4"/>
      <c r="B30" s="4"/>
      <c r="C30" s="4"/>
      <c r="D30" s="4"/>
      <c r="E30" s="4"/>
      <c r="F30" s="4"/>
      <c r="G30" s="4"/>
      <c r="H30" s="17"/>
      <c r="I30" s="17"/>
      <c r="J30" s="17"/>
      <c r="K30" s="18"/>
    </row>
    <row r="31" spans="1:7" ht="12.75">
      <c r="A31" s="1" t="s">
        <v>9</v>
      </c>
      <c r="C31" s="3"/>
      <c r="D31" s="3"/>
      <c r="E31" s="3"/>
      <c r="F31" s="3"/>
      <c r="G31" s="3"/>
    </row>
    <row r="32" spans="1:11" ht="12.75">
      <c r="A32" s="2">
        <v>248</v>
      </c>
      <c r="B32" s="2">
        <v>26</v>
      </c>
      <c r="C32" s="2" t="s">
        <v>84</v>
      </c>
      <c r="D32" s="2" t="s">
        <v>85</v>
      </c>
      <c r="E32" s="2" t="s">
        <v>71</v>
      </c>
      <c r="F32" s="2" t="s">
        <v>86</v>
      </c>
      <c r="G32" s="2" t="s">
        <v>58</v>
      </c>
      <c r="H32" s="14">
        <v>20.76</v>
      </c>
      <c r="I32" s="14">
        <v>19.33</v>
      </c>
      <c r="J32" s="14">
        <f aca="true" t="shared" si="2" ref="J32:J43">MIN(H32:I32)</f>
        <v>19.33</v>
      </c>
      <c r="K32">
        <v>30</v>
      </c>
    </row>
    <row r="33" spans="1:11" ht="12.75">
      <c r="A33" s="3">
        <v>241</v>
      </c>
      <c r="B33" s="3">
        <v>91</v>
      </c>
      <c r="C33" s="3" t="s">
        <v>188</v>
      </c>
      <c r="D33" s="3" t="s">
        <v>189</v>
      </c>
      <c r="E33" s="3" t="s">
        <v>71</v>
      </c>
      <c r="F33" s="3" t="s">
        <v>190</v>
      </c>
      <c r="G33" s="3" t="s">
        <v>58</v>
      </c>
      <c r="H33" s="15">
        <v>19.63</v>
      </c>
      <c r="I33" s="15">
        <v>26.59</v>
      </c>
      <c r="J33" s="14">
        <f t="shared" si="2"/>
        <v>19.63</v>
      </c>
      <c r="K33" s="8">
        <v>29</v>
      </c>
    </row>
    <row r="34" spans="1:11" ht="12.75">
      <c r="A34" s="2">
        <v>213</v>
      </c>
      <c r="B34" s="2">
        <v>88</v>
      </c>
      <c r="C34" s="2" t="s">
        <v>184</v>
      </c>
      <c r="D34" s="2" t="s">
        <v>156</v>
      </c>
      <c r="E34" s="2" t="s">
        <v>71</v>
      </c>
      <c r="F34" s="2" t="s">
        <v>111</v>
      </c>
      <c r="G34" s="2" t="s">
        <v>58</v>
      </c>
      <c r="H34" s="14">
        <v>20.04</v>
      </c>
      <c r="I34" s="14">
        <v>19.75</v>
      </c>
      <c r="J34" s="14">
        <f t="shared" si="2"/>
        <v>19.75</v>
      </c>
      <c r="K34" s="16">
        <v>28</v>
      </c>
    </row>
    <row r="35" spans="1:11" ht="12.75">
      <c r="A35" s="2">
        <v>191</v>
      </c>
      <c r="B35" s="2">
        <v>24</v>
      </c>
      <c r="C35" s="2" t="s">
        <v>80</v>
      </c>
      <c r="D35" s="2" t="s">
        <v>81</v>
      </c>
      <c r="E35" s="2" t="s">
        <v>71</v>
      </c>
      <c r="F35" s="2" t="s">
        <v>36</v>
      </c>
      <c r="G35" s="2" t="s">
        <v>58</v>
      </c>
      <c r="H35" s="14">
        <v>20.48</v>
      </c>
      <c r="I35" s="14">
        <v>19.95</v>
      </c>
      <c r="J35" s="14">
        <f t="shared" si="2"/>
        <v>19.95</v>
      </c>
      <c r="K35" s="21">
        <v>27</v>
      </c>
    </row>
    <row r="36" spans="1:11" ht="12.75">
      <c r="A36" s="2">
        <v>215</v>
      </c>
      <c r="B36" s="2">
        <v>27</v>
      </c>
      <c r="C36" s="2" t="s">
        <v>87</v>
      </c>
      <c r="D36" s="2" t="s">
        <v>88</v>
      </c>
      <c r="E36" s="2" t="s">
        <v>71</v>
      </c>
      <c r="F36" s="2" t="s">
        <v>36</v>
      </c>
      <c r="G36" s="2" t="s">
        <v>58</v>
      </c>
      <c r="H36" s="14">
        <v>20.93</v>
      </c>
      <c r="I36" s="14">
        <v>20.8</v>
      </c>
      <c r="J36" s="14">
        <f t="shared" si="2"/>
        <v>20.8</v>
      </c>
      <c r="K36" s="21">
        <v>26</v>
      </c>
    </row>
    <row r="37" spans="1:11" s="8" customFormat="1" ht="12.75">
      <c r="A37" s="2">
        <v>219</v>
      </c>
      <c r="B37" s="2">
        <v>25</v>
      </c>
      <c r="C37" s="2" t="s">
        <v>82</v>
      </c>
      <c r="D37" s="2" t="s">
        <v>83</v>
      </c>
      <c r="E37" s="2" t="s">
        <v>71</v>
      </c>
      <c r="F37" s="2" t="s">
        <v>79</v>
      </c>
      <c r="G37" s="2" t="s">
        <v>58</v>
      </c>
      <c r="H37" s="14">
        <v>20.85</v>
      </c>
      <c r="I37" s="14">
        <v>21.39</v>
      </c>
      <c r="J37" s="14">
        <f t="shared" si="2"/>
        <v>20.85</v>
      </c>
      <c r="K37" s="21">
        <v>25</v>
      </c>
    </row>
    <row r="38" spans="1:11" ht="12.75">
      <c r="A38" s="2">
        <v>239</v>
      </c>
      <c r="B38" s="2">
        <v>22</v>
      </c>
      <c r="C38" s="2" t="s">
        <v>77</v>
      </c>
      <c r="D38" s="2" t="s">
        <v>78</v>
      </c>
      <c r="E38" s="2" t="s">
        <v>71</v>
      </c>
      <c r="F38" s="2" t="s">
        <v>79</v>
      </c>
      <c r="G38" s="2" t="s">
        <v>58</v>
      </c>
      <c r="H38" s="15">
        <v>21.55</v>
      </c>
      <c r="I38" s="15">
        <v>22.07</v>
      </c>
      <c r="J38" s="14">
        <f t="shared" si="2"/>
        <v>21.55</v>
      </c>
      <c r="K38" s="21">
        <v>24</v>
      </c>
    </row>
    <row r="39" spans="1:11" ht="12.75">
      <c r="A39" s="2">
        <v>278</v>
      </c>
      <c r="B39" s="2">
        <v>29</v>
      </c>
      <c r="C39" s="2" t="s">
        <v>88</v>
      </c>
      <c r="D39" s="2" t="s">
        <v>90</v>
      </c>
      <c r="E39" s="2" t="s">
        <v>71</v>
      </c>
      <c r="F39" s="2" t="s">
        <v>36</v>
      </c>
      <c r="G39" s="2" t="s">
        <v>58</v>
      </c>
      <c r="H39" s="14">
        <v>21.95</v>
      </c>
      <c r="I39" s="14">
        <v>23.84</v>
      </c>
      <c r="J39" s="14">
        <f t="shared" si="2"/>
        <v>21.95</v>
      </c>
      <c r="K39" s="21">
        <v>23</v>
      </c>
    </row>
    <row r="40" spans="1:11" ht="12.75">
      <c r="A40" s="2">
        <v>196</v>
      </c>
      <c r="B40" s="2">
        <v>28</v>
      </c>
      <c r="C40" s="2" t="s">
        <v>43</v>
      </c>
      <c r="D40" s="2" t="s">
        <v>89</v>
      </c>
      <c r="E40" s="2" t="s">
        <v>71</v>
      </c>
      <c r="F40" s="2" t="s">
        <v>36</v>
      </c>
      <c r="G40" s="2" t="s">
        <v>58</v>
      </c>
      <c r="H40" s="14">
        <v>22.19</v>
      </c>
      <c r="I40" s="14">
        <v>22.86</v>
      </c>
      <c r="J40" s="14">
        <f t="shared" si="2"/>
        <v>22.19</v>
      </c>
      <c r="K40" s="21">
        <v>22</v>
      </c>
    </row>
    <row r="41" spans="1:11" s="8" customFormat="1" ht="12.75">
      <c r="A41" s="2">
        <v>193</v>
      </c>
      <c r="B41" s="2">
        <v>31</v>
      </c>
      <c r="C41" s="2" t="s">
        <v>51</v>
      </c>
      <c r="D41" s="2" t="s">
        <v>92</v>
      </c>
      <c r="E41" s="2" t="s">
        <v>71</v>
      </c>
      <c r="F41" s="2" t="s">
        <v>36</v>
      </c>
      <c r="G41" s="2" t="s">
        <v>58</v>
      </c>
      <c r="H41" s="14">
        <v>24.89</v>
      </c>
      <c r="I41" s="14">
        <v>24.81</v>
      </c>
      <c r="J41" s="14">
        <f t="shared" si="2"/>
        <v>24.81</v>
      </c>
      <c r="K41" s="21">
        <v>21</v>
      </c>
    </row>
    <row r="42" spans="1:11" ht="12.75">
      <c r="A42" s="2">
        <v>253</v>
      </c>
      <c r="B42" s="2">
        <v>23</v>
      </c>
      <c r="C42" s="2" t="s">
        <v>41</v>
      </c>
      <c r="D42" s="2" t="s">
        <v>60</v>
      </c>
      <c r="E42" s="2" t="s">
        <v>71</v>
      </c>
      <c r="F42" s="2" t="s">
        <v>36</v>
      </c>
      <c r="G42" s="2" t="s">
        <v>58</v>
      </c>
      <c r="H42" s="14">
        <v>28.85</v>
      </c>
      <c r="I42" s="50" t="s">
        <v>194</v>
      </c>
      <c r="J42" s="14">
        <f t="shared" si="2"/>
        <v>28.85</v>
      </c>
      <c r="K42" s="21">
        <v>20</v>
      </c>
    </row>
    <row r="43" spans="1:11" s="8" customFormat="1" ht="13.5" thickBot="1">
      <c r="A43" s="5">
        <v>293</v>
      </c>
      <c r="B43" s="5">
        <v>30</v>
      </c>
      <c r="C43" s="5" t="s">
        <v>66</v>
      </c>
      <c r="D43" s="5" t="s">
        <v>91</v>
      </c>
      <c r="E43" s="5" t="s">
        <v>71</v>
      </c>
      <c r="F43" s="5" t="s">
        <v>36</v>
      </c>
      <c r="G43" s="5" t="s">
        <v>58</v>
      </c>
      <c r="H43" s="17">
        <v>29.06</v>
      </c>
      <c r="I43" s="17">
        <v>29.47</v>
      </c>
      <c r="J43" s="17">
        <f t="shared" si="2"/>
        <v>29.06</v>
      </c>
      <c r="K43" s="46">
        <v>19</v>
      </c>
    </row>
    <row r="44" spans="1:7" ht="12.75">
      <c r="A44" s="1" t="s">
        <v>10</v>
      </c>
      <c r="C44" s="3"/>
      <c r="D44" s="3"/>
      <c r="E44" s="3"/>
      <c r="F44" s="3"/>
      <c r="G44" s="3"/>
    </row>
    <row r="45" spans="1:11" ht="12.75">
      <c r="A45" s="2">
        <v>243</v>
      </c>
      <c r="B45" s="2">
        <v>32</v>
      </c>
      <c r="C45" s="2" t="s">
        <v>93</v>
      </c>
      <c r="D45" s="2" t="s">
        <v>48</v>
      </c>
      <c r="E45" s="2" t="s">
        <v>94</v>
      </c>
      <c r="F45" s="2" t="s">
        <v>36</v>
      </c>
      <c r="G45" s="2" t="s">
        <v>37</v>
      </c>
      <c r="H45" s="14">
        <v>18.64</v>
      </c>
      <c r="I45" s="14">
        <v>18.79</v>
      </c>
      <c r="J45" s="14">
        <f>MIN(H45:I45)</f>
        <v>18.64</v>
      </c>
      <c r="K45">
        <v>30</v>
      </c>
    </row>
    <row r="46" spans="1:11" ht="12.75">
      <c r="A46" s="2">
        <v>265</v>
      </c>
      <c r="B46" s="2">
        <v>33</v>
      </c>
      <c r="C46" s="2" t="s">
        <v>95</v>
      </c>
      <c r="D46" s="2" t="s">
        <v>96</v>
      </c>
      <c r="E46" s="2" t="s">
        <v>94</v>
      </c>
      <c r="F46" s="2" t="s">
        <v>97</v>
      </c>
      <c r="G46" s="2" t="s">
        <v>37</v>
      </c>
      <c r="H46" s="14">
        <v>18.83</v>
      </c>
      <c r="I46" s="14">
        <v>19.63</v>
      </c>
      <c r="J46" s="14">
        <f>MIN(H46:I46)</f>
        <v>18.83</v>
      </c>
      <c r="K46">
        <v>29</v>
      </c>
    </row>
    <row r="47" spans="1:11" ht="12.75">
      <c r="A47" s="2">
        <v>234</v>
      </c>
      <c r="B47" s="2">
        <v>34</v>
      </c>
      <c r="C47" s="2" t="s">
        <v>98</v>
      </c>
      <c r="D47" s="2" t="s">
        <v>42</v>
      </c>
      <c r="E47" s="2" t="s">
        <v>94</v>
      </c>
      <c r="F47" s="2" t="s">
        <v>99</v>
      </c>
      <c r="G47" s="2" t="s">
        <v>37</v>
      </c>
      <c r="H47" s="14">
        <v>25.83</v>
      </c>
      <c r="I47" s="14">
        <v>25.6</v>
      </c>
      <c r="J47" s="14">
        <f>MIN(H47:I47)</f>
        <v>25.6</v>
      </c>
      <c r="K47">
        <v>28</v>
      </c>
    </row>
    <row r="48" spans="1:11" ht="12.75">
      <c r="A48" s="3"/>
      <c r="C48" s="3"/>
      <c r="D48" s="3"/>
      <c r="E48" s="3"/>
      <c r="F48" s="3"/>
      <c r="G48" s="3"/>
      <c r="K48" s="21"/>
    </row>
    <row r="49" spans="1:11" ht="13.5" thickBot="1">
      <c r="A49" s="5"/>
      <c r="B49" s="5"/>
      <c r="C49" s="5"/>
      <c r="D49" s="5"/>
      <c r="E49" s="5"/>
      <c r="F49" s="5"/>
      <c r="G49" s="5"/>
      <c r="H49" s="17"/>
      <c r="I49" s="17"/>
      <c r="J49" s="17"/>
      <c r="K49" s="18"/>
    </row>
    <row r="50" spans="1:7" ht="12.75">
      <c r="A50" s="1" t="s">
        <v>11</v>
      </c>
      <c r="C50" s="3"/>
      <c r="D50" s="3"/>
      <c r="E50" s="3"/>
      <c r="F50" s="3"/>
      <c r="G50" s="3"/>
    </row>
    <row r="51" spans="1:11" ht="12.75">
      <c r="A51" s="2">
        <v>173</v>
      </c>
      <c r="B51" s="2">
        <v>38</v>
      </c>
      <c r="C51" s="2" t="s">
        <v>105</v>
      </c>
      <c r="D51" s="2" t="s">
        <v>57</v>
      </c>
      <c r="E51" s="2" t="s">
        <v>94</v>
      </c>
      <c r="F51" s="2" t="s">
        <v>36</v>
      </c>
      <c r="G51" s="2" t="s">
        <v>58</v>
      </c>
      <c r="H51" s="14">
        <v>17.22</v>
      </c>
      <c r="I51" s="14">
        <v>17.37</v>
      </c>
      <c r="J51" s="14">
        <f aca="true" t="shared" si="3" ref="J51:J57">MIN(H51:I51)</f>
        <v>17.22</v>
      </c>
      <c r="K51">
        <v>30</v>
      </c>
    </row>
    <row r="52" spans="1:11" ht="12.75">
      <c r="A52" s="2">
        <v>291</v>
      </c>
      <c r="B52" s="2">
        <v>37</v>
      </c>
      <c r="C52" s="2" t="s">
        <v>38</v>
      </c>
      <c r="D52" s="2" t="s">
        <v>104</v>
      </c>
      <c r="E52" s="2" t="s">
        <v>94</v>
      </c>
      <c r="F52" s="2" t="s">
        <v>40</v>
      </c>
      <c r="G52" s="2" t="s">
        <v>58</v>
      </c>
      <c r="H52" s="14">
        <v>17.73</v>
      </c>
      <c r="I52" s="14">
        <v>17.55</v>
      </c>
      <c r="J52" s="14">
        <f t="shared" si="3"/>
        <v>17.55</v>
      </c>
      <c r="K52">
        <v>29</v>
      </c>
    </row>
    <row r="53" spans="1:11" ht="12.75">
      <c r="A53" s="6">
        <v>242</v>
      </c>
      <c r="B53" s="6">
        <v>92</v>
      </c>
      <c r="C53" s="6" t="s">
        <v>188</v>
      </c>
      <c r="D53" s="6" t="s">
        <v>118</v>
      </c>
      <c r="E53" s="6" t="s">
        <v>94</v>
      </c>
      <c r="F53" s="6" t="s">
        <v>190</v>
      </c>
      <c r="G53" s="6" t="s">
        <v>58</v>
      </c>
      <c r="H53" s="15">
        <v>19.07</v>
      </c>
      <c r="I53" s="14">
        <v>18.05</v>
      </c>
      <c r="J53" s="14">
        <f t="shared" si="3"/>
        <v>18.05</v>
      </c>
      <c r="K53">
        <v>28</v>
      </c>
    </row>
    <row r="54" spans="1:11" ht="12.75">
      <c r="A54" s="2">
        <v>296</v>
      </c>
      <c r="B54" s="2">
        <v>87</v>
      </c>
      <c r="C54" s="2" t="s">
        <v>67</v>
      </c>
      <c r="D54" s="2" t="s">
        <v>60</v>
      </c>
      <c r="E54" s="2" t="s">
        <v>94</v>
      </c>
      <c r="F54" s="2" t="s">
        <v>36</v>
      </c>
      <c r="G54" s="2" t="s">
        <v>58</v>
      </c>
      <c r="H54" s="50" t="s">
        <v>194</v>
      </c>
      <c r="I54" s="14">
        <v>18.46</v>
      </c>
      <c r="J54" s="14">
        <f t="shared" si="3"/>
        <v>18.46</v>
      </c>
      <c r="K54">
        <v>27</v>
      </c>
    </row>
    <row r="55" spans="1:11" ht="12.75">
      <c r="A55" s="2">
        <v>202</v>
      </c>
      <c r="B55" s="2">
        <v>35</v>
      </c>
      <c r="C55" s="2" t="s">
        <v>100</v>
      </c>
      <c r="D55" s="2" t="s">
        <v>101</v>
      </c>
      <c r="E55" s="2" t="s">
        <v>94</v>
      </c>
      <c r="F55" s="2" t="s">
        <v>36</v>
      </c>
      <c r="G55" s="2" t="s">
        <v>58</v>
      </c>
      <c r="H55" s="14">
        <v>20.03</v>
      </c>
      <c r="I55" s="14">
        <v>19.87</v>
      </c>
      <c r="J55" s="14">
        <f t="shared" si="3"/>
        <v>19.87</v>
      </c>
      <c r="K55">
        <v>26</v>
      </c>
    </row>
    <row r="56" spans="1:11" ht="12.75">
      <c r="A56" s="2">
        <v>204</v>
      </c>
      <c r="B56" s="2">
        <v>36</v>
      </c>
      <c r="C56" s="2" t="s">
        <v>102</v>
      </c>
      <c r="D56" s="2" t="s">
        <v>85</v>
      </c>
      <c r="E56" s="2" t="s">
        <v>94</v>
      </c>
      <c r="F56" s="2" t="s">
        <v>103</v>
      </c>
      <c r="G56" s="2" t="s">
        <v>58</v>
      </c>
      <c r="H56" s="14">
        <v>21</v>
      </c>
      <c r="I56" s="14">
        <v>21.86</v>
      </c>
      <c r="J56" s="14">
        <f t="shared" si="3"/>
        <v>21</v>
      </c>
      <c r="K56">
        <v>25</v>
      </c>
    </row>
    <row r="57" spans="1:11" ht="13.5" thickBot="1">
      <c r="A57" s="5">
        <v>274</v>
      </c>
      <c r="B57" s="5">
        <v>39</v>
      </c>
      <c r="C57" s="5" t="s">
        <v>61</v>
      </c>
      <c r="D57" s="5" t="s">
        <v>106</v>
      </c>
      <c r="E57" s="5" t="s">
        <v>94</v>
      </c>
      <c r="F57" s="5" t="s">
        <v>107</v>
      </c>
      <c r="G57" s="5" t="s">
        <v>58</v>
      </c>
      <c r="H57" s="52" t="s">
        <v>194</v>
      </c>
      <c r="I57" s="17">
        <v>31.08</v>
      </c>
      <c r="J57" s="17">
        <f t="shared" si="3"/>
        <v>31.08</v>
      </c>
      <c r="K57" s="18">
        <v>24</v>
      </c>
    </row>
    <row r="58" spans="1:7" ht="12.75">
      <c r="A58" s="1" t="s">
        <v>12</v>
      </c>
      <c r="C58" s="3"/>
      <c r="D58" s="3"/>
      <c r="E58" s="3"/>
      <c r="F58" s="3"/>
      <c r="G58" s="3"/>
    </row>
    <row r="59" spans="1:11" ht="12.75">
      <c r="A59" s="6">
        <v>208</v>
      </c>
      <c r="B59" s="6">
        <v>43</v>
      </c>
      <c r="C59" s="6" t="s">
        <v>116</v>
      </c>
      <c r="D59" s="6" t="s">
        <v>117</v>
      </c>
      <c r="E59" s="6" t="s">
        <v>110</v>
      </c>
      <c r="F59" s="6" t="s">
        <v>79</v>
      </c>
      <c r="G59" s="6" t="s">
        <v>37</v>
      </c>
      <c r="H59" s="14">
        <v>17.44</v>
      </c>
      <c r="I59" s="14">
        <v>18.56</v>
      </c>
      <c r="J59" s="14">
        <f>MIN(H59:I59)</f>
        <v>17.44</v>
      </c>
      <c r="K59">
        <v>30</v>
      </c>
    </row>
    <row r="60" spans="1:11" ht="12.75">
      <c r="A60" s="2">
        <v>181</v>
      </c>
      <c r="B60" s="2">
        <v>42</v>
      </c>
      <c r="C60" s="2" t="s">
        <v>114</v>
      </c>
      <c r="D60" s="2" t="s">
        <v>115</v>
      </c>
      <c r="E60" s="2" t="s">
        <v>110</v>
      </c>
      <c r="F60" s="2" t="s">
        <v>36</v>
      </c>
      <c r="G60" s="2" t="s">
        <v>37</v>
      </c>
      <c r="H60" s="14">
        <v>22.52</v>
      </c>
      <c r="I60" s="14">
        <v>23.14</v>
      </c>
      <c r="J60" s="14">
        <f>MIN(H60:I60)</f>
        <v>22.52</v>
      </c>
      <c r="K60">
        <v>29</v>
      </c>
    </row>
    <row r="61" spans="1:11" ht="12.75">
      <c r="A61" s="2">
        <v>281</v>
      </c>
      <c r="B61" s="2">
        <v>40</v>
      </c>
      <c r="C61" s="2" t="s">
        <v>108</v>
      </c>
      <c r="D61" s="2" t="s">
        <v>109</v>
      </c>
      <c r="E61" s="2" t="s">
        <v>110</v>
      </c>
      <c r="F61" s="2" t="s">
        <v>111</v>
      </c>
      <c r="G61" s="2" t="s">
        <v>37</v>
      </c>
      <c r="H61" s="14">
        <v>23.31</v>
      </c>
      <c r="I61" s="14">
        <v>26.09</v>
      </c>
      <c r="J61" s="14">
        <f>MIN(H61:I61)</f>
        <v>23.31</v>
      </c>
      <c r="K61">
        <v>28</v>
      </c>
    </row>
    <row r="62" spans="1:11" ht="12.75">
      <c r="A62" s="2">
        <v>255</v>
      </c>
      <c r="B62" s="2">
        <v>41</v>
      </c>
      <c r="C62" s="2" t="s">
        <v>112</v>
      </c>
      <c r="D62" s="2" t="s">
        <v>113</v>
      </c>
      <c r="E62" s="2" t="s">
        <v>110</v>
      </c>
      <c r="F62" s="2" t="s">
        <v>36</v>
      </c>
      <c r="G62" s="2" t="s">
        <v>37</v>
      </c>
      <c r="H62" s="50" t="s">
        <v>193</v>
      </c>
      <c r="I62" s="50" t="s">
        <v>193</v>
      </c>
      <c r="J62" s="14">
        <f>MIN(H62:I62)</f>
        <v>0</v>
      </c>
      <c r="K62">
        <v>0</v>
      </c>
    </row>
    <row r="63" spans="1:11" ht="13.5" thickBot="1">
      <c r="A63" s="4"/>
      <c r="B63" s="4"/>
      <c r="C63" s="4"/>
      <c r="D63" s="4"/>
      <c r="E63" s="4"/>
      <c r="F63" s="4"/>
      <c r="G63" s="4"/>
      <c r="H63" s="17"/>
      <c r="I63" s="17"/>
      <c r="J63" s="17"/>
      <c r="K63" s="18"/>
    </row>
    <row r="64" spans="1:7" ht="12.75">
      <c r="A64" s="1" t="s">
        <v>13</v>
      </c>
      <c r="C64" s="3"/>
      <c r="D64" s="3"/>
      <c r="E64" s="3"/>
      <c r="F64" s="3"/>
      <c r="G64" s="3"/>
    </row>
    <row r="65" spans="1:11" ht="12.75">
      <c r="A65" s="2">
        <v>236</v>
      </c>
      <c r="B65" s="2">
        <v>45</v>
      </c>
      <c r="C65" s="2" t="s">
        <v>119</v>
      </c>
      <c r="D65" s="2" t="s">
        <v>120</v>
      </c>
      <c r="E65" s="2" t="s">
        <v>110</v>
      </c>
      <c r="F65" s="2" t="s">
        <v>36</v>
      </c>
      <c r="G65" s="2" t="s">
        <v>58</v>
      </c>
      <c r="H65" s="14">
        <v>16.33</v>
      </c>
      <c r="I65" s="14">
        <v>16.49</v>
      </c>
      <c r="J65" s="14">
        <f aca="true" t="shared" si="4" ref="J65:J74">MIN(H65:I65)</f>
        <v>16.33</v>
      </c>
      <c r="K65">
        <v>30</v>
      </c>
    </row>
    <row r="66" spans="1:11" ht="12.75">
      <c r="A66" s="2">
        <v>244</v>
      </c>
      <c r="B66" s="2">
        <v>49</v>
      </c>
      <c r="C66" s="2" t="s">
        <v>127</v>
      </c>
      <c r="D66" s="2" t="s">
        <v>128</v>
      </c>
      <c r="E66" s="2" t="s">
        <v>110</v>
      </c>
      <c r="F66" s="2" t="s">
        <v>136</v>
      </c>
      <c r="G66" s="2" t="s">
        <v>58</v>
      </c>
      <c r="H66" s="14">
        <v>16.6</v>
      </c>
      <c r="I66" s="14">
        <v>17.09</v>
      </c>
      <c r="J66" s="14">
        <f t="shared" si="4"/>
        <v>16.6</v>
      </c>
      <c r="K66">
        <v>29</v>
      </c>
    </row>
    <row r="67" spans="1:11" ht="12.75">
      <c r="A67" s="2">
        <v>256</v>
      </c>
      <c r="B67" s="2">
        <v>52</v>
      </c>
      <c r="C67" s="2" t="s">
        <v>132</v>
      </c>
      <c r="D67" s="2" t="s">
        <v>133</v>
      </c>
      <c r="E67" s="2" t="s">
        <v>110</v>
      </c>
      <c r="F67" s="2" t="s">
        <v>36</v>
      </c>
      <c r="G67" s="2" t="s">
        <v>58</v>
      </c>
      <c r="H67" s="14">
        <v>17.58</v>
      </c>
      <c r="I67" s="14">
        <v>17.31</v>
      </c>
      <c r="J67" s="14">
        <f t="shared" si="4"/>
        <v>17.31</v>
      </c>
      <c r="K67" s="16">
        <v>28</v>
      </c>
    </row>
    <row r="68" spans="1:11" ht="12.75">
      <c r="A68" s="2">
        <v>205</v>
      </c>
      <c r="B68" s="2">
        <v>53</v>
      </c>
      <c r="C68" s="2" t="s">
        <v>134</v>
      </c>
      <c r="D68" s="2" t="s">
        <v>135</v>
      </c>
      <c r="E68" s="2" t="s">
        <v>110</v>
      </c>
      <c r="F68" s="2" t="s">
        <v>111</v>
      </c>
      <c r="G68" s="2" t="s">
        <v>58</v>
      </c>
      <c r="H68" s="14">
        <v>18.09</v>
      </c>
      <c r="I68" s="14">
        <v>17.77</v>
      </c>
      <c r="J68" s="14">
        <f t="shared" si="4"/>
        <v>17.77</v>
      </c>
      <c r="K68" s="16">
        <v>27</v>
      </c>
    </row>
    <row r="69" spans="1:11" ht="12.75">
      <c r="A69" s="2">
        <v>285</v>
      </c>
      <c r="B69" s="2">
        <v>51</v>
      </c>
      <c r="C69" s="2" t="s">
        <v>130</v>
      </c>
      <c r="D69" s="2" t="s">
        <v>131</v>
      </c>
      <c r="E69" s="2" t="s">
        <v>110</v>
      </c>
      <c r="F69" s="2" t="s">
        <v>40</v>
      </c>
      <c r="G69" s="2" t="s">
        <v>58</v>
      </c>
      <c r="H69" s="15">
        <v>18.27</v>
      </c>
      <c r="I69" s="15">
        <v>17.79</v>
      </c>
      <c r="J69" s="15">
        <f t="shared" si="4"/>
        <v>17.79</v>
      </c>
      <c r="K69" s="16">
        <v>26</v>
      </c>
    </row>
    <row r="70" spans="1:11" ht="12.75">
      <c r="A70" s="2">
        <v>275</v>
      </c>
      <c r="B70" s="2">
        <v>47</v>
      </c>
      <c r="C70" s="2" t="s">
        <v>123</v>
      </c>
      <c r="D70" s="2" t="s">
        <v>124</v>
      </c>
      <c r="E70" s="2" t="s">
        <v>110</v>
      </c>
      <c r="F70" s="2" t="s">
        <v>36</v>
      </c>
      <c r="G70" s="2" t="s">
        <v>58</v>
      </c>
      <c r="H70" s="14">
        <v>18.62</v>
      </c>
      <c r="I70" s="14">
        <v>18.81</v>
      </c>
      <c r="J70" s="14">
        <f t="shared" si="4"/>
        <v>18.62</v>
      </c>
      <c r="K70" s="16">
        <v>25</v>
      </c>
    </row>
    <row r="71" spans="1:11" ht="12.75">
      <c r="A71" s="2">
        <v>210</v>
      </c>
      <c r="B71" s="2">
        <v>50</v>
      </c>
      <c r="C71" s="2" t="s">
        <v>129</v>
      </c>
      <c r="D71" s="2" t="s">
        <v>68</v>
      </c>
      <c r="E71" s="2" t="s">
        <v>110</v>
      </c>
      <c r="F71" s="2" t="s">
        <v>36</v>
      </c>
      <c r="G71" s="2" t="s">
        <v>58</v>
      </c>
      <c r="H71" s="14">
        <v>18.66</v>
      </c>
      <c r="I71" s="14">
        <v>19.4</v>
      </c>
      <c r="J71" s="14">
        <f t="shared" si="4"/>
        <v>18.66</v>
      </c>
      <c r="K71" s="16">
        <v>24</v>
      </c>
    </row>
    <row r="72" spans="1:11" ht="12.75">
      <c r="A72" s="2">
        <v>183</v>
      </c>
      <c r="B72" s="2">
        <v>48</v>
      </c>
      <c r="C72" s="2" t="s">
        <v>125</v>
      </c>
      <c r="D72" s="2" t="s">
        <v>126</v>
      </c>
      <c r="E72" s="2" t="s">
        <v>110</v>
      </c>
      <c r="F72" s="2" t="s">
        <v>36</v>
      </c>
      <c r="G72" s="2" t="s">
        <v>58</v>
      </c>
      <c r="H72" s="14">
        <v>18.95</v>
      </c>
      <c r="I72" s="14">
        <v>19.18</v>
      </c>
      <c r="J72" s="14">
        <f t="shared" si="4"/>
        <v>18.95</v>
      </c>
      <c r="K72" s="16">
        <v>23</v>
      </c>
    </row>
    <row r="73" spans="1:11" ht="12.75">
      <c r="A73" s="2">
        <v>203</v>
      </c>
      <c r="B73" s="2">
        <v>44</v>
      </c>
      <c r="C73" s="2" t="s">
        <v>102</v>
      </c>
      <c r="D73" s="2" t="s">
        <v>118</v>
      </c>
      <c r="E73" s="2" t="s">
        <v>110</v>
      </c>
      <c r="F73" s="2" t="s">
        <v>103</v>
      </c>
      <c r="G73" s="2" t="s">
        <v>58</v>
      </c>
      <c r="H73" s="14">
        <v>20.89</v>
      </c>
      <c r="I73" s="14">
        <v>20.81</v>
      </c>
      <c r="J73" s="14">
        <f t="shared" si="4"/>
        <v>20.81</v>
      </c>
      <c r="K73" s="16">
        <v>22</v>
      </c>
    </row>
    <row r="74" spans="1:11" ht="12.75">
      <c r="A74" s="2">
        <v>270</v>
      </c>
      <c r="B74" s="2">
        <v>46</v>
      </c>
      <c r="C74" s="2" t="s">
        <v>121</v>
      </c>
      <c r="D74" s="2" t="s">
        <v>122</v>
      </c>
      <c r="E74" s="2" t="s">
        <v>110</v>
      </c>
      <c r="F74" s="2" t="s">
        <v>36</v>
      </c>
      <c r="G74" s="2" t="s">
        <v>58</v>
      </c>
      <c r="H74" s="50" t="s">
        <v>194</v>
      </c>
      <c r="I74" s="14">
        <v>33.97</v>
      </c>
      <c r="J74" s="14">
        <f t="shared" si="4"/>
        <v>33.97</v>
      </c>
      <c r="K74" s="16">
        <v>21</v>
      </c>
    </row>
    <row r="75" spans="1:11" ht="12.75">
      <c r="A75" s="2"/>
      <c r="B75" s="2"/>
      <c r="C75" s="2"/>
      <c r="D75" s="2"/>
      <c r="E75" s="2"/>
      <c r="F75" s="2"/>
      <c r="G75" s="2"/>
      <c r="K75" s="16"/>
    </row>
    <row r="76" spans="1:11" ht="12.75">
      <c r="A76" s="2"/>
      <c r="B76" s="2"/>
      <c r="C76" s="2"/>
      <c r="D76" s="2"/>
      <c r="E76" s="2"/>
      <c r="F76" s="2"/>
      <c r="G76" s="2"/>
      <c r="K76" s="16"/>
    </row>
    <row r="77" spans="1:11" ht="13.5" thickBot="1">
      <c r="A77" s="5"/>
      <c r="B77" s="5"/>
      <c r="C77" s="5"/>
      <c r="D77" s="5"/>
      <c r="E77" s="5"/>
      <c r="F77" s="5"/>
      <c r="G77" s="5"/>
      <c r="H77" s="18"/>
      <c r="I77" s="18"/>
      <c r="J77" s="17"/>
      <c r="K77" s="18"/>
    </row>
    <row r="78" spans="1:7" ht="12.75">
      <c r="A78" s="9" t="s">
        <v>14</v>
      </c>
      <c r="B78" s="2"/>
      <c r="C78" s="2"/>
      <c r="D78" s="2"/>
      <c r="E78" s="2"/>
      <c r="F78" s="2"/>
      <c r="G78" s="2"/>
    </row>
    <row r="79" spans="1:11" ht="12.75">
      <c r="A79" s="2">
        <v>190</v>
      </c>
      <c r="B79" s="2">
        <v>56</v>
      </c>
      <c r="C79" s="2" t="s">
        <v>141</v>
      </c>
      <c r="D79" s="2" t="s">
        <v>142</v>
      </c>
      <c r="E79" s="2" t="s">
        <v>138</v>
      </c>
      <c r="F79" s="2" t="s">
        <v>103</v>
      </c>
      <c r="G79" s="2" t="s">
        <v>37</v>
      </c>
      <c r="H79" s="14">
        <v>15.6</v>
      </c>
      <c r="I79" s="14">
        <v>14.95</v>
      </c>
      <c r="J79" s="14">
        <f aca="true" t="shared" si="5" ref="J79:J86">MIN(H79:I79)</f>
        <v>14.95</v>
      </c>
      <c r="K79">
        <v>30</v>
      </c>
    </row>
    <row r="80" spans="1:11" ht="12.75">
      <c r="A80" s="2">
        <v>178</v>
      </c>
      <c r="B80" s="2">
        <v>60</v>
      </c>
      <c r="C80" s="2" t="s">
        <v>150</v>
      </c>
      <c r="D80" s="2" t="s">
        <v>151</v>
      </c>
      <c r="E80" s="2" t="s">
        <v>138</v>
      </c>
      <c r="F80" s="2" t="s">
        <v>103</v>
      </c>
      <c r="G80" s="2" t="s">
        <v>37</v>
      </c>
      <c r="H80" s="15">
        <v>15.93</v>
      </c>
      <c r="I80" s="15">
        <v>16.32</v>
      </c>
      <c r="J80" s="15">
        <f t="shared" si="5"/>
        <v>15.93</v>
      </c>
      <c r="K80" s="8">
        <v>29</v>
      </c>
    </row>
    <row r="81" spans="1:11" ht="12.75">
      <c r="A81" s="2">
        <v>212</v>
      </c>
      <c r="B81" s="2">
        <v>58</v>
      </c>
      <c r="C81" s="2" t="s">
        <v>146</v>
      </c>
      <c r="D81" s="2" t="s">
        <v>147</v>
      </c>
      <c r="E81" s="2" t="s">
        <v>138</v>
      </c>
      <c r="F81" s="2" t="s">
        <v>79</v>
      </c>
      <c r="G81" s="2" t="s">
        <v>37</v>
      </c>
      <c r="H81" s="14">
        <v>16.21</v>
      </c>
      <c r="I81" s="14">
        <v>16.66</v>
      </c>
      <c r="J81" s="14">
        <f t="shared" si="5"/>
        <v>16.21</v>
      </c>
      <c r="K81">
        <v>28</v>
      </c>
    </row>
    <row r="82" spans="1:11" ht="12.75">
      <c r="A82" s="2">
        <v>231</v>
      </c>
      <c r="B82" s="2">
        <v>59</v>
      </c>
      <c r="C82" s="2" t="s">
        <v>148</v>
      </c>
      <c r="D82" s="2" t="s">
        <v>149</v>
      </c>
      <c r="E82" s="2" t="s">
        <v>138</v>
      </c>
      <c r="F82" s="2" t="s">
        <v>36</v>
      </c>
      <c r="G82" s="2" t="s">
        <v>37</v>
      </c>
      <c r="H82" s="14">
        <v>16.7</v>
      </c>
      <c r="I82" s="14">
        <v>16.83</v>
      </c>
      <c r="J82" s="14">
        <f t="shared" si="5"/>
        <v>16.7</v>
      </c>
      <c r="K82">
        <v>27</v>
      </c>
    </row>
    <row r="83" spans="1:11" ht="12.75">
      <c r="A83" s="2">
        <v>199</v>
      </c>
      <c r="B83" s="2">
        <v>57</v>
      </c>
      <c r="C83" s="2" t="s">
        <v>143</v>
      </c>
      <c r="D83" s="2" t="s">
        <v>144</v>
      </c>
      <c r="E83" s="2" t="s">
        <v>138</v>
      </c>
      <c r="F83" s="2" t="s">
        <v>145</v>
      </c>
      <c r="G83" s="2" t="s">
        <v>37</v>
      </c>
      <c r="H83" s="14">
        <v>17.27</v>
      </c>
      <c r="I83" s="14">
        <v>17.65</v>
      </c>
      <c r="J83" s="14">
        <f t="shared" si="5"/>
        <v>17.27</v>
      </c>
      <c r="K83">
        <v>26</v>
      </c>
    </row>
    <row r="84" spans="1:11" ht="12.75">
      <c r="A84" s="2">
        <v>295</v>
      </c>
      <c r="B84" s="2">
        <v>69</v>
      </c>
      <c r="C84" s="2" t="s">
        <v>161</v>
      </c>
      <c r="D84" s="2" t="s">
        <v>162</v>
      </c>
      <c r="E84" s="2" t="s">
        <v>138</v>
      </c>
      <c r="F84" s="2" t="s">
        <v>36</v>
      </c>
      <c r="G84" s="2" t="s">
        <v>37</v>
      </c>
      <c r="H84" s="14">
        <v>17.74</v>
      </c>
      <c r="I84" s="14">
        <v>18.05</v>
      </c>
      <c r="J84" s="14">
        <f t="shared" si="5"/>
        <v>17.74</v>
      </c>
      <c r="K84">
        <v>25</v>
      </c>
    </row>
    <row r="85" spans="1:11" s="8" customFormat="1" ht="12.75">
      <c r="A85" s="6">
        <v>269</v>
      </c>
      <c r="B85" s="6">
        <v>54</v>
      </c>
      <c r="C85" s="6" t="s">
        <v>121</v>
      </c>
      <c r="D85" s="6" t="s">
        <v>137</v>
      </c>
      <c r="E85" s="6" t="s">
        <v>138</v>
      </c>
      <c r="F85" s="6" t="s">
        <v>36</v>
      </c>
      <c r="G85" s="6" t="s">
        <v>37</v>
      </c>
      <c r="H85" s="15">
        <v>17.85</v>
      </c>
      <c r="I85" s="15">
        <v>17.99</v>
      </c>
      <c r="J85" s="15">
        <f t="shared" si="5"/>
        <v>17.85</v>
      </c>
      <c r="K85" s="8">
        <v>24</v>
      </c>
    </row>
    <row r="86" spans="1:11" ht="12.75">
      <c r="A86" s="2">
        <v>294</v>
      </c>
      <c r="B86" s="2">
        <v>55</v>
      </c>
      <c r="C86" s="2" t="s">
        <v>139</v>
      </c>
      <c r="D86" s="2" t="s">
        <v>140</v>
      </c>
      <c r="E86" s="2" t="s">
        <v>138</v>
      </c>
      <c r="F86" s="2" t="s">
        <v>111</v>
      </c>
      <c r="G86" s="2" t="s">
        <v>37</v>
      </c>
      <c r="H86" s="50" t="s">
        <v>193</v>
      </c>
      <c r="I86" s="50" t="s">
        <v>193</v>
      </c>
      <c r="J86" s="14">
        <f t="shared" si="5"/>
        <v>0</v>
      </c>
      <c r="K86" s="16">
        <v>0</v>
      </c>
    </row>
    <row r="87" spans="1:11" ht="13.5" thickBot="1">
      <c r="A87" s="5"/>
      <c r="B87" s="5"/>
      <c r="C87" s="5"/>
      <c r="D87" s="5"/>
      <c r="E87" s="5"/>
      <c r="F87" s="5"/>
      <c r="G87" s="5"/>
      <c r="H87" s="17"/>
      <c r="I87" s="17"/>
      <c r="J87" s="17"/>
      <c r="K87" s="18"/>
    </row>
    <row r="88" spans="1:10" ht="12.75">
      <c r="A88" s="1" t="s">
        <v>15</v>
      </c>
      <c r="C88" s="3"/>
      <c r="D88" s="3"/>
      <c r="E88" s="3"/>
      <c r="F88" s="3"/>
      <c r="G88" s="3"/>
      <c r="J88" s="15"/>
    </row>
    <row r="89" spans="1:11" ht="12.75">
      <c r="A89" s="2">
        <v>262</v>
      </c>
      <c r="B89" s="2">
        <v>63</v>
      </c>
      <c r="C89" s="2" t="s">
        <v>154</v>
      </c>
      <c r="D89" s="2" t="s">
        <v>155</v>
      </c>
      <c r="E89" s="2" t="s">
        <v>138</v>
      </c>
      <c r="F89" s="2" t="s">
        <v>36</v>
      </c>
      <c r="G89" s="2" t="s">
        <v>58</v>
      </c>
      <c r="H89" s="14">
        <v>15.85</v>
      </c>
      <c r="I89" s="14">
        <v>16.53</v>
      </c>
      <c r="J89" s="14">
        <f aca="true" t="shared" si="6" ref="J89:J97">MIN(H89:I89)</f>
        <v>15.85</v>
      </c>
      <c r="K89">
        <v>30</v>
      </c>
    </row>
    <row r="90" spans="1:11" ht="12.75">
      <c r="A90" s="2">
        <v>197</v>
      </c>
      <c r="B90" s="2">
        <v>65</v>
      </c>
      <c r="C90" s="2" t="s">
        <v>157</v>
      </c>
      <c r="D90" s="2" t="s">
        <v>158</v>
      </c>
      <c r="E90" s="2" t="s">
        <v>138</v>
      </c>
      <c r="F90" s="2" t="s">
        <v>111</v>
      </c>
      <c r="G90" s="2" t="s">
        <v>58</v>
      </c>
      <c r="H90" s="14">
        <v>15.93</v>
      </c>
      <c r="I90" s="14">
        <v>15.9</v>
      </c>
      <c r="J90" s="14">
        <f t="shared" si="6"/>
        <v>15.9</v>
      </c>
      <c r="K90">
        <v>29</v>
      </c>
    </row>
    <row r="91" spans="1:11" ht="12.75">
      <c r="A91" s="3">
        <v>257</v>
      </c>
      <c r="B91" s="3">
        <v>93</v>
      </c>
      <c r="C91" s="3" t="s">
        <v>191</v>
      </c>
      <c r="D91" s="3" t="s">
        <v>192</v>
      </c>
      <c r="E91" s="3" t="s">
        <v>138</v>
      </c>
      <c r="F91" s="3" t="s">
        <v>36</v>
      </c>
      <c r="G91" s="3" t="s">
        <v>58</v>
      </c>
      <c r="H91" s="14">
        <v>16.95</v>
      </c>
      <c r="I91" s="14">
        <v>20.66</v>
      </c>
      <c r="J91" s="14">
        <f t="shared" si="6"/>
        <v>16.95</v>
      </c>
      <c r="K91" s="16">
        <v>28</v>
      </c>
    </row>
    <row r="92" spans="1:11" ht="12.75">
      <c r="A92" s="2">
        <v>264</v>
      </c>
      <c r="B92" s="2">
        <v>66</v>
      </c>
      <c r="C92" s="2" t="s">
        <v>159</v>
      </c>
      <c r="D92" s="2" t="s">
        <v>131</v>
      </c>
      <c r="E92" s="2" t="s">
        <v>138</v>
      </c>
      <c r="F92" s="2" t="s">
        <v>111</v>
      </c>
      <c r="G92" s="2" t="s">
        <v>58</v>
      </c>
      <c r="H92" s="14">
        <v>18.53</v>
      </c>
      <c r="I92" s="14">
        <v>18.47</v>
      </c>
      <c r="J92" s="15">
        <f t="shared" si="6"/>
        <v>18.47</v>
      </c>
      <c r="K92" s="16">
        <v>27</v>
      </c>
    </row>
    <row r="93" spans="1:11" ht="12.75">
      <c r="A93" s="2">
        <v>280</v>
      </c>
      <c r="B93" s="2">
        <v>62</v>
      </c>
      <c r="C93" s="2" t="s">
        <v>108</v>
      </c>
      <c r="D93" s="2" t="s">
        <v>120</v>
      </c>
      <c r="E93" s="2" t="s">
        <v>138</v>
      </c>
      <c r="F93" s="2" t="s">
        <v>111</v>
      </c>
      <c r="G93" s="2" t="s">
        <v>58</v>
      </c>
      <c r="H93" s="14">
        <v>19.13</v>
      </c>
      <c r="I93" s="14">
        <v>18.59</v>
      </c>
      <c r="J93" s="15">
        <f t="shared" si="6"/>
        <v>18.59</v>
      </c>
      <c r="K93" s="16">
        <v>26</v>
      </c>
    </row>
    <row r="94" spans="1:11" ht="12.75">
      <c r="A94" s="2">
        <v>230</v>
      </c>
      <c r="B94" s="2">
        <v>67</v>
      </c>
      <c r="C94" s="2" t="s">
        <v>160</v>
      </c>
      <c r="D94" s="2" t="s">
        <v>88</v>
      </c>
      <c r="E94" s="2" t="s">
        <v>138</v>
      </c>
      <c r="F94" s="2"/>
      <c r="G94" s="2" t="s">
        <v>58</v>
      </c>
      <c r="H94" s="15">
        <v>20.35</v>
      </c>
      <c r="I94" s="15">
        <v>20.97</v>
      </c>
      <c r="J94" s="15">
        <f t="shared" si="6"/>
        <v>20.35</v>
      </c>
      <c r="K94" s="16">
        <v>25</v>
      </c>
    </row>
    <row r="95" spans="1:11" ht="12.75">
      <c r="A95" s="2">
        <v>209</v>
      </c>
      <c r="B95" s="2">
        <v>68</v>
      </c>
      <c r="C95" s="2" t="s">
        <v>129</v>
      </c>
      <c r="D95" s="2" t="s">
        <v>85</v>
      </c>
      <c r="E95" s="2" t="s">
        <v>138</v>
      </c>
      <c r="F95" s="2" t="s">
        <v>36</v>
      </c>
      <c r="G95" s="2" t="s">
        <v>58</v>
      </c>
      <c r="H95" s="14">
        <v>20.7</v>
      </c>
      <c r="I95" s="14">
        <v>21.57</v>
      </c>
      <c r="J95" s="14">
        <f t="shared" si="6"/>
        <v>20.7</v>
      </c>
      <c r="K95" s="16">
        <v>24</v>
      </c>
    </row>
    <row r="96" spans="1:11" ht="12.75">
      <c r="A96" s="2">
        <v>260</v>
      </c>
      <c r="B96" s="2">
        <v>61</v>
      </c>
      <c r="C96" s="2" t="s">
        <v>152</v>
      </c>
      <c r="D96" s="2" t="s">
        <v>153</v>
      </c>
      <c r="E96" s="2" t="s">
        <v>138</v>
      </c>
      <c r="F96" s="2" t="s">
        <v>36</v>
      </c>
      <c r="G96" s="2" t="s">
        <v>58</v>
      </c>
      <c r="H96" s="14">
        <v>21.74</v>
      </c>
      <c r="I96" s="14">
        <v>21.17</v>
      </c>
      <c r="J96" s="15">
        <f t="shared" si="6"/>
        <v>21.17</v>
      </c>
      <c r="K96" s="16">
        <v>23</v>
      </c>
    </row>
    <row r="97" spans="1:11" ht="12.75">
      <c r="A97" s="2">
        <v>184</v>
      </c>
      <c r="B97" s="2">
        <v>64</v>
      </c>
      <c r="C97" s="2" t="s">
        <v>125</v>
      </c>
      <c r="D97" s="2" t="s">
        <v>156</v>
      </c>
      <c r="E97" s="2" t="s">
        <v>138</v>
      </c>
      <c r="F97" s="2" t="s">
        <v>36</v>
      </c>
      <c r="G97" s="2" t="s">
        <v>58</v>
      </c>
      <c r="H97" s="14">
        <v>27.35</v>
      </c>
      <c r="I97" s="14">
        <v>23.32</v>
      </c>
      <c r="J97" s="14">
        <f t="shared" si="6"/>
        <v>23.32</v>
      </c>
      <c r="K97" s="16">
        <v>22</v>
      </c>
    </row>
    <row r="98" spans="1:11" ht="13.5" thickBot="1">
      <c r="A98" s="4"/>
      <c r="B98" s="4"/>
      <c r="C98" s="4"/>
      <c r="D98" s="4"/>
      <c r="E98" s="4"/>
      <c r="F98" s="4"/>
      <c r="G98" s="4"/>
      <c r="H98" s="17"/>
      <c r="I98" s="17"/>
      <c r="J98" s="17"/>
      <c r="K98" s="18"/>
    </row>
    <row r="99" spans="1:11" ht="12.75">
      <c r="A99" s="10" t="s">
        <v>16</v>
      </c>
      <c r="B99" s="7"/>
      <c r="C99" s="7"/>
      <c r="D99" s="7"/>
      <c r="E99" s="7"/>
      <c r="F99" s="7"/>
      <c r="G99" s="7"/>
      <c r="H99" s="15"/>
      <c r="I99" s="15"/>
      <c r="J99" s="15"/>
      <c r="K99" s="8"/>
    </row>
    <row r="100" spans="1:11" ht="13.5" thickBot="1">
      <c r="A100" s="4">
        <v>289</v>
      </c>
      <c r="B100" s="4">
        <v>70</v>
      </c>
      <c r="C100" s="4" t="s">
        <v>116</v>
      </c>
      <c r="D100" s="4" t="s">
        <v>164</v>
      </c>
      <c r="E100" s="4" t="s">
        <v>163</v>
      </c>
      <c r="F100" s="4" t="s">
        <v>36</v>
      </c>
      <c r="G100" s="4" t="s">
        <v>37</v>
      </c>
      <c r="H100" s="17">
        <v>15.91</v>
      </c>
      <c r="I100" s="17">
        <v>15.63</v>
      </c>
      <c r="J100" s="17">
        <f>MIN(H100:I100)</f>
        <v>15.63</v>
      </c>
      <c r="K100" s="18">
        <v>30</v>
      </c>
    </row>
    <row r="101" spans="1:11" ht="12.75">
      <c r="A101" s="10" t="s">
        <v>17</v>
      </c>
      <c r="B101" s="7"/>
      <c r="C101" s="7"/>
      <c r="D101" s="7"/>
      <c r="E101" s="7"/>
      <c r="F101" s="7"/>
      <c r="G101" s="7"/>
      <c r="H101" s="15"/>
      <c r="I101" s="15"/>
      <c r="J101" s="15"/>
      <c r="K101" s="8"/>
    </row>
    <row r="102" spans="1:11" ht="12.75">
      <c r="A102" s="2">
        <v>246</v>
      </c>
      <c r="B102" s="2">
        <v>71</v>
      </c>
      <c r="C102" s="2" t="s">
        <v>165</v>
      </c>
      <c r="D102" s="2" t="s">
        <v>166</v>
      </c>
      <c r="E102" s="2" t="s">
        <v>163</v>
      </c>
      <c r="F102" s="2" t="s">
        <v>97</v>
      </c>
      <c r="G102" s="2" t="s">
        <v>58</v>
      </c>
      <c r="H102" s="15">
        <v>15.91</v>
      </c>
      <c r="I102" s="15">
        <v>15.83</v>
      </c>
      <c r="J102" s="15">
        <f>MIN(H102:I102)</f>
        <v>15.83</v>
      </c>
      <c r="K102" s="8">
        <v>30</v>
      </c>
    </row>
    <row r="103" spans="1:11" ht="12.75">
      <c r="A103" s="2">
        <v>282</v>
      </c>
      <c r="B103" s="2">
        <v>72</v>
      </c>
      <c r="C103" s="2" t="s">
        <v>167</v>
      </c>
      <c r="D103" s="2" t="s">
        <v>60</v>
      </c>
      <c r="E103" s="2" t="s">
        <v>163</v>
      </c>
      <c r="F103" s="2" t="s">
        <v>36</v>
      </c>
      <c r="G103" s="2" t="s">
        <v>58</v>
      </c>
      <c r="H103" s="51" t="s">
        <v>193</v>
      </c>
      <c r="I103" s="51" t="s">
        <v>193</v>
      </c>
      <c r="J103" s="15">
        <f>MIN(H103:H103)</f>
        <v>0</v>
      </c>
      <c r="K103" s="8">
        <v>0</v>
      </c>
    </row>
    <row r="104" spans="1:11" ht="13.5" thickBot="1">
      <c r="A104" s="22"/>
      <c r="B104" s="4"/>
      <c r="C104" s="4"/>
      <c r="D104" s="4"/>
      <c r="E104" s="4"/>
      <c r="F104" s="4"/>
      <c r="G104" s="4"/>
      <c r="H104" s="17"/>
      <c r="I104" s="17"/>
      <c r="J104" s="17"/>
      <c r="K104" s="18"/>
    </row>
    <row r="105" spans="1:7" ht="12.75">
      <c r="A105" s="9" t="s">
        <v>18</v>
      </c>
      <c r="B105" s="2"/>
      <c r="C105" s="2"/>
      <c r="D105" s="2"/>
      <c r="E105" s="2"/>
      <c r="F105" s="2"/>
      <c r="G105" s="2"/>
    </row>
    <row r="106" spans="1:11" ht="12.75">
      <c r="A106" s="3">
        <v>189</v>
      </c>
      <c r="B106" s="3">
        <v>73</v>
      </c>
      <c r="C106" s="3" t="s">
        <v>141</v>
      </c>
      <c r="D106" s="3" t="s">
        <v>137</v>
      </c>
      <c r="E106" s="3" t="s">
        <v>168</v>
      </c>
      <c r="F106" s="3" t="s">
        <v>103</v>
      </c>
      <c r="G106" s="3" t="s">
        <v>37</v>
      </c>
      <c r="H106" s="14">
        <v>15.96</v>
      </c>
      <c r="I106" s="14">
        <v>16.38</v>
      </c>
      <c r="J106" s="14">
        <f>MIN(H106:I106)</f>
        <v>15.96</v>
      </c>
      <c r="K106">
        <v>30</v>
      </c>
    </row>
    <row r="107" spans="1:11" ht="12.75">
      <c r="A107" s="2">
        <v>216</v>
      </c>
      <c r="B107" s="2">
        <v>74</v>
      </c>
      <c r="C107" s="2" t="s">
        <v>169</v>
      </c>
      <c r="D107" s="2" t="s">
        <v>170</v>
      </c>
      <c r="E107" s="2" t="s">
        <v>168</v>
      </c>
      <c r="F107" s="2" t="s">
        <v>111</v>
      </c>
      <c r="G107" s="2" t="s">
        <v>37</v>
      </c>
      <c r="H107" s="14">
        <v>38.61</v>
      </c>
      <c r="I107" s="14">
        <v>50.34</v>
      </c>
      <c r="J107" s="14">
        <f>MIN(H107:I107)</f>
        <v>38.61</v>
      </c>
      <c r="K107">
        <v>29</v>
      </c>
    </row>
    <row r="108" spans="1:11" ht="13.5" thickBot="1">
      <c r="A108" s="5"/>
      <c r="B108" s="5"/>
      <c r="C108" s="5"/>
      <c r="D108" s="5"/>
      <c r="E108" s="5"/>
      <c r="F108" s="5"/>
      <c r="G108" s="5"/>
      <c r="H108" s="17"/>
      <c r="I108" s="17"/>
      <c r="J108" s="17"/>
      <c r="K108" s="18"/>
    </row>
    <row r="109" spans="1:10" ht="12.75">
      <c r="A109" s="9" t="s">
        <v>19</v>
      </c>
      <c r="B109" s="2"/>
      <c r="C109" s="2"/>
      <c r="D109" s="2"/>
      <c r="E109" s="2"/>
      <c r="F109" s="2"/>
      <c r="G109" s="2"/>
      <c r="J109" s="15"/>
    </row>
    <row r="110" spans="1:11" ht="12.75">
      <c r="A110" s="2">
        <v>170</v>
      </c>
      <c r="B110" s="2">
        <v>90</v>
      </c>
      <c r="C110" s="2" t="s">
        <v>129</v>
      </c>
      <c r="D110" s="2" t="s">
        <v>187</v>
      </c>
      <c r="E110" s="2" t="s">
        <v>168</v>
      </c>
      <c r="F110" s="2" t="s">
        <v>36</v>
      </c>
      <c r="G110" s="2" t="s">
        <v>58</v>
      </c>
      <c r="H110" s="14">
        <v>14.53</v>
      </c>
      <c r="I110" s="14">
        <v>13.95</v>
      </c>
      <c r="J110" s="15">
        <f>MIN(H110:I110)</f>
        <v>13.95</v>
      </c>
      <c r="K110">
        <v>30</v>
      </c>
    </row>
    <row r="111" spans="1:11" ht="13.5" thickBot="1">
      <c r="A111" s="5">
        <v>292</v>
      </c>
      <c r="B111" s="5">
        <v>75</v>
      </c>
      <c r="C111" s="5" t="s">
        <v>38</v>
      </c>
      <c r="D111" s="5" t="s">
        <v>171</v>
      </c>
      <c r="E111" s="5" t="s">
        <v>168</v>
      </c>
      <c r="F111" s="5" t="s">
        <v>172</v>
      </c>
      <c r="G111" s="5" t="s">
        <v>58</v>
      </c>
      <c r="H111" s="17">
        <v>23.06</v>
      </c>
      <c r="I111" s="17">
        <v>22.47</v>
      </c>
      <c r="J111" s="17">
        <f>MIN(H111:I111)</f>
        <v>22.47</v>
      </c>
      <c r="K111" s="18">
        <v>29</v>
      </c>
    </row>
    <row r="112" spans="1:7" ht="12.75">
      <c r="A112" s="11" t="s">
        <v>20</v>
      </c>
      <c r="B112" s="6"/>
      <c r="C112" s="6"/>
      <c r="D112" s="6"/>
      <c r="E112" s="6"/>
      <c r="F112" s="6"/>
      <c r="G112" s="6"/>
    </row>
    <row r="113" spans="1:10" ht="12.75">
      <c r="A113" s="11"/>
      <c r="B113" s="6"/>
      <c r="C113" s="6"/>
      <c r="D113" s="6"/>
      <c r="E113" s="6"/>
      <c r="F113" s="6"/>
      <c r="G113" s="6"/>
      <c r="J113" s="14">
        <f>MIN(H113:I113)</f>
        <v>0</v>
      </c>
    </row>
    <row r="114" spans="1:11" ht="13.5" thickBot="1">
      <c r="A114" s="12"/>
      <c r="B114" s="5"/>
      <c r="C114" s="5"/>
      <c r="D114" s="5"/>
      <c r="E114" s="5"/>
      <c r="F114" s="5"/>
      <c r="G114" s="5"/>
      <c r="H114" s="17"/>
      <c r="I114" s="17"/>
      <c r="J114" s="17">
        <f>MIN(H114:I114)</f>
        <v>0</v>
      </c>
      <c r="K114" s="18"/>
    </row>
    <row r="115" spans="1:7" ht="12.75">
      <c r="A115" s="1" t="s">
        <v>21</v>
      </c>
      <c r="C115" s="3"/>
      <c r="D115" s="3"/>
      <c r="E115" s="3"/>
      <c r="F115" s="3"/>
      <c r="G115" s="3"/>
    </row>
    <row r="116" spans="1:11" ht="12.75">
      <c r="A116" s="2">
        <v>201</v>
      </c>
      <c r="B116" s="2">
        <v>76</v>
      </c>
      <c r="C116" s="2" t="s">
        <v>143</v>
      </c>
      <c r="D116" s="2" t="s">
        <v>173</v>
      </c>
      <c r="E116" s="2" t="s">
        <v>174</v>
      </c>
      <c r="F116" s="2" t="s">
        <v>145</v>
      </c>
      <c r="G116" s="2" t="s">
        <v>58</v>
      </c>
      <c r="H116" s="14">
        <v>16.56</v>
      </c>
      <c r="I116" s="14">
        <v>16.58</v>
      </c>
      <c r="J116" s="14">
        <f aca="true" t="shared" si="7" ref="J116:J125">MIN(H116:I116)</f>
        <v>16.56</v>
      </c>
      <c r="K116">
        <v>30</v>
      </c>
    </row>
    <row r="117" spans="1:11" ht="12.75">
      <c r="A117" s="2">
        <v>206</v>
      </c>
      <c r="B117" s="2">
        <v>85</v>
      </c>
      <c r="C117" s="2" t="s">
        <v>116</v>
      </c>
      <c r="D117" s="2" t="s">
        <v>181</v>
      </c>
      <c r="E117" s="2" t="s">
        <v>174</v>
      </c>
      <c r="F117" s="2" t="s">
        <v>79</v>
      </c>
      <c r="G117" s="2" t="s">
        <v>58</v>
      </c>
      <c r="H117" s="14">
        <v>16.9</v>
      </c>
      <c r="I117" s="14">
        <v>16.77</v>
      </c>
      <c r="J117" s="14">
        <f t="shared" si="7"/>
        <v>16.77</v>
      </c>
      <c r="K117">
        <v>29</v>
      </c>
    </row>
    <row r="118" spans="1:11" ht="12.75">
      <c r="A118" s="2">
        <v>258</v>
      </c>
      <c r="B118" s="2">
        <v>78</v>
      </c>
      <c r="C118" s="2" t="s">
        <v>69</v>
      </c>
      <c r="D118" s="2" t="s">
        <v>176</v>
      </c>
      <c r="E118" s="2" t="s">
        <v>174</v>
      </c>
      <c r="F118" s="2" t="s">
        <v>36</v>
      </c>
      <c r="G118" s="2" t="s">
        <v>58</v>
      </c>
      <c r="H118" s="14">
        <v>18.08</v>
      </c>
      <c r="I118" s="14">
        <v>18.45</v>
      </c>
      <c r="J118" s="14">
        <f t="shared" si="7"/>
        <v>18.08</v>
      </c>
      <c r="K118">
        <v>28</v>
      </c>
    </row>
    <row r="119" spans="1:11" ht="12.75">
      <c r="A119" s="2">
        <v>233</v>
      </c>
      <c r="B119" s="2">
        <v>84</v>
      </c>
      <c r="C119" s="2" t="s">
        <v>98</v>
      </c>
      <c r="D119" s="2" t="s">
        <v>180</v>
      </c>
      <c r="E119" s="2" t="s">
        <v>174</v>
      </c>
      <c r="F119" s="2" t="s">
        <v>99</v>
      </c>
      <c r="G119" s="2" t="s">
        <v>58</v>
      </c>
      <c r="H119" s="14">
        <v>19.26</v>
      </c>
      <c r="I119" s="14">
        <v>18.42</v>
      </c>
      <c r="J119" s="14">
        <f t="shared" si="7"/>
        <v>18.42</v>
      </c>
      <c r="K119">
        <v>27</v>
      </c>
    </row>
    <row r="120" spans="1:11" ht="12.75">
      <c r="A120" s="2">
        <v>185</v>
      </c>
      <c r="B120" s="2">
        <v>77</v>
      </c>
      <c r="C120" s="2" t="s">
        <v>125</v>
      </c>
      <c r="D120" s="2" t="s">
        <v>175</v>
      </c>
      <c r="E120" s="2" t="s">
        <v>174</v>
      </c>
      <c r="F120" s="2" t="s">
        <v>36</v>
      </c>
      <c r="G120" s="2" t="s">
        <v>58</v>
      </c>
      <c r="H120" s="14">
        <v>18.71</v>
      </c>
      <c r="I120" s="14">
        <v>19.05</v>
      </c>
      <c r="J120" s="14">
        <f t="shared" si="7"/>
        <v>18.71</v>
      </c>
      <c r="K120">
        <v>26</v>
      </c>
    </row>
    <row r="121" spans="1:11" ht="12.75">
      <c r="A121" s="2">
        <v>211</v>
      </c>
      <c r="B121" s="2">
        <v>83</v>
      </c>
      <c r="C121" s="2" t="s">
        <v>129</v>
      </c>
      <c r="D121" s="2" t="s">
        <v>179</v>
      </c>
      <c r="E121" s="2" t="s">
        <v>174</v>
      </c>
      <c r="F121" s="2" t="s">
        <v>36</v>
      </c>
      <c r="G121" s="2" t="s">
        <v>58</v>
      </c>
      <c r="H121" s="14">
        <v>23.1</v>
      </c>
      <c r="I121" s="14">
        <v>22.71</v>
      </c>
      <c r="J121" s="14">
        <f t="shared" si="7"/>
        <v>22.71</v>
      </c>
      <c r="K121">
        <v>25</v>
      </c>
    </row>
    <row r="122" spans="1:11" ht="12.75">
      <c r="A122" s="2">
        <v>198</v>
      </c>
      <c r="B122" s="2">
        <v>80</v>
      </c>
      <c r="C122" s="2" t="s">
        <v>157</v>
      </c>
      <c r="D122" s="2" t="s">
        <v>178</v>
      </c>
      <c r="E122" s="2" t="s">
        <v>174</v>
      </c>
      <c r="F122" s="2" t="s">
        <v>111</v>
      </c>
      <c r="G122" s="2" t="s">
        <v>58</v>
      </c>
      <c r="H122" s="14">
        <v>26.67</v>
      </c>
      <c r="I122" s="14">
        <v>23.14</v>
      </c>
      <c r="J122" s="14">
        <f t="shared" si="7"/>
        <v>23.14</v>
      </c>
      <c r="K122">
        <v>24</v>
      </c>
    </row>
    <row r="123" spans="1:11" ht="12.75">
      <c r="A123" s="2">
        <v>268</v>
      </c>
      <c r="B123" s="2">
        <v>79</v>
      </c>
      <c r="C123" s="2" t="s">
        <v>74</v>
      </c>
      <c r="D123" s="2" t="s">
        <v>177</v>
      </c>
      <c r="E123" s="2" t="s">
        <v>174</v>
      </c>
      <c r="F123" s="2"/>
      <c r="G123" s="2" t="s">
        <v>58</v>
      </c>
      <c r="H123" s="14">
        <v>31.58</v>
      </c>
      <c r="I123" s="14">
        <v>24.71</v>
      </c>
      <c r="J123" s="14">
        <f t="shared" si="7"/>
        <v>24.71</v>
      </c>
      <c r="K123">
        <v>23</v>
      </c>
    </row>
    <row r="124" spans="1:11" ht="12.75">
      <c r="A124" s="2">
        <v>194</v>
      </c>
      <c r="B124" s="2">
        <v>82</v>
      </c>
      <c r="C124" s="2" t="s">
        <v>51</v>
      </c>
      <c r="D124" s="2" t="s">
        <v>177</v>
      </c>
      <c r="E124" s="2" t="s">
        <v>174</v>
      </c>
      <c r="F124" s="2" t="s">
        <v>36</v>
      </c>
      <c r="G124" s="2" t="s">
        <v>58</v>
      </c>
      <c r="H124" s="14">
        <v>27.06</v>
      </c>
      <c r="I124" s="14">
        <v>26.79</v>
      </c>
      <c r="J124" s="15">
        <f t="shared" si="7"/>
        <v>26.79</v>
      </c>
      <c r="K124">
        <v>22</v>
      </c>
    </row>
    <row r="125" spans="1:11" ht="12.75">
      <c r="A125" s="2">
        <v>232</v>
      </c>
      <c r="B125" s="2">
        <v>81</v>
      </c>
      <c r="C125" s="2" t="s">
        <v>148</v>
      </c>
      <c r="D125" s="2" t="s">
        <v>179</v>
      </c>
      <c r="E125" s="2" t="s">
        <v>174</v>
      </c>
      <c r="F125" s="2" t="s">
        <v>36</v>
      </c>
      <c r="G125" s="2" t="s">
        <v>58</v>
      </c>
      <c r="H125" s="50" t="s">
        <v>193</v>
      </c>
      <c r="I125" s="50" t="s">
        <v>193</v>
      </c>
      <c r="J125" s="14">
        <f t="shared" si="7"/>
        <v>0</v>
      </c>
      <c r="K125">
        <v>0</v>
      </c>
    </row>
    <row r="126" spans="1:11" ht="13.5" thickBot="1">
      <c r="A126" s="5"/>
      <c r="B126" s="5"/>
      <c r="C126" s="5"/>
      <c r="D126" s="5"/>
      <c r="E126" s="5"/>
      <c r="F126" s="5"/>
      <c r="G126" s="5"/>
      <c r="H126" s="17"/>
      <c r="I126" s="17"/>
      <c r="J126" s="17"/>
      <c r="K126" s="18"/>
    </row>
    <row r="127" spans="1:10" ht="12.75">
      <c r="A127" s="9" t="s">
        <v>22</v>
      </c>
      <c r="B127" s="2"/>
      <c r="C127" s="2"/>
      <c r="D127" s="2"/>
      <c r="E127" s="2"/>
      <c r="F127" s="2"/>
      <c r="G127" s="2"/>
      <c r="J127" s="15"/>
    </row>
    <row r="128" spans="1:11" ht="13.5" thickBot="1">
      <c r="A128" s="12"/>
      <c r="B128" s="5"/>
      <c r="C128" s="5"/>
      <c r="D128" s="5"/>
      <c r="E128" s="5"/>
      <c r="F128" s="5"/>
      <c r="G128" s="5"/>
      <c r="H128" s="17"/>
      <c r="I128" s="17"/>
      <c r="J128" s="17"/>
      <c r="K128" s="18"/>
    </row>
    <row r="129" spans="1:10" ht="12.75">
      <c r="A129" s="11" t="s">
        <v>23</v>
      </c>
      <c r="B129" s="6"/>
      <c r="C129" s="6"/>
      <c r="D129" s="6"/>
      <c r="E129" s="6"/>
      <c r="F129" s="6"/>
      <c r="G129" s="6"/>
      <c r="J129" s="15"/>
    </row>
    <row r="130" spans="1:11" ht="12.75">
      <c r="A130" s="2">
        <v>245</v>
      </c>
      <c r="B130" s="2">
        <v>86</v>
      </c>
      <c r="C130" s="2" t="s">
        <v>165</v>
      </c>
      <c r="D130" s="2" t="s">
        <v>182</v>
      </c>
      <c r="E130" s="2" t="s">
        <v>183</v>
      </c>
      <c r="F130" s="2" t="s">
        <v>97</v>
      </c>
      <c r="G130" s="2" t="s">
        <v>58</v>
      </c>
      <c r="H130" s="15">
        <v>18.34</v>
      </c>
      <c r="I130" s="15">
        <v>18.28</v>
      </c>
      <c r="J130" s="15">
        <f>MIN(H130:I130)</f>
        <v>18.28</v>
      </c>
      <c r="K130" s="8">
        <v>30</v>
      </c>
    </row>
    <row r="131" spans="1:11" ht="13.5" thickBot="1">
      <c r="A131" s="5"/>
      <c r="B131" s="5"/>
      <c r="C131" s="5"/>
      <c r="D131" s="5"/>
      <c r="E131" s="5"/>
      <c r="F131" s="5"/>
      <c r="G131" s="5"/>
      <c r="H131" s="17"/>
      <c r="I131" s="17"/>
      <c r="J131" s="17"/>
      <c r="K131" s="18"/>
    </row>
    <row r="132" spans="1:11" ht="12.75">
      <c r="A132" s="6"/>
      <c r="B132" s="6"/>
      <c r="C132" s="6"/>
      <c r="D132" s="6"/>
      <c r="E132" s="6"/>
      <c r="F132" s="6"/>
      <c r="G132" s="6"/>
      <c r="H132" s="15"/>
      <c r="I132" s="15"/>
      <c r="J132" s="15"/>
      <c r="K132" s="8"/>
    </row>
    <row r="133" spans="1:11" ht="12.75">
      <c r="A133" s="6"/>
      <c r="B133" s="6"/>
      <c r="C133" s="6"/>
      <c r="D133" s="6"/>
      <c r="E133" s="6"/>
      <c r="F133" s="6"/>
      <c r="G133" s="6"/>
      <c r="H133" s="15"/>
      <c r="I133" s="15"/>
      <c r="J133" s="15"/>
      <c r="K133" s="8"/>
    </row>
    <row r="134" spans="1:11" ht="12.75">
      <c r="A134" s="6"/>
      <c r="B134" s="6"/>
      <c r="C134" s="6"/>
      <c r="D134" s="6"/>
      <c r="E134" s="6"/>
      <c r="F134" s="6"/>
      <c r="G134" s="6"/>
      <c r="H134" s="15"/>
      <c r="I134" s="15"/>
      <c r="J134" s="15"/>
      <c r="K134" s="8"/>
    </row>
    <row r="135" spans="1:10" ht="12.75">
      <c r="A135" s="11"/>
      <c r="B135" s="6"/>
      <c r="C135" s="6"/>
      <c r="D135" s="6"/>
      <c r="E135" s="6"/>
      <c r="F135" s="6"/>
      <c r="G135" s="6"/>
      <c r="J135" s="15"/>
    </row>
    <row r="136" spans="8:10" s="3" customFormat="1" ht="12.75">
      <c r="H136" s="23"/>
      <c r="I136" s="23"/>
      <c r="J136" s="15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&amp;CFrostbite 3 - Race 2 November Timed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6" sqref="D6"/>
    </sheetView>
  </sheetViews>
  <sheetFormatPr defaultColWidth="9.140625" defaultRowHeight="12.75"/>
  <cols>
    <col min="1" max="1" width="11.7109375" style="0" bestFit="1" customWidth="1"/>
    <col min="2" max="2" width="7.00390625" style="3" bestFit="1" customWidth="1"/>
    <col min="3" max="3" width="17.7109375" style="0" bestFit="1" customWidth="1"/>
    <col min="4" max="4" width="18.28125" style="0" bestFit="1" customWidth="1"/>
    <col min="8" max="8" width="10.7109375" style="19" customWidth="1"/>
  </cols>
  <sheetData>
    <row r="1" spans="1:8" s="8" customFormat="1" ht="12.75">
      <c r="A1" s="45" t="s">
        <v>0</v>
      </c>
      <c r="B1" s="10" t="s">
        <v>1</v>
      </c>
      <c r="C1" s="10" t="s">
        <v>2</v>
      </c>
      <c r="D1" s="10" t="s">
        <v>24</v>
      </c>
      <c r="E1" s="10" t="s">
        <v>3</v>
      </c>
      <c r="F1" s="10" t="s">
        <v>4</v>
      </c>
      <c r="G1" s="10" t="s">
        <v>5</v>
      </c>
      <c r="H1" s="49" t="s">
        <v>28</v>
      </c>
    </row>
    <row r="2" spans="1:7" ht="12.75">
      <c r="A2" s="1" t="s">
        <v>6</v>
      </c>
      <c r="B2" s="1"/>
      <c r="C2" s="1"/>
      <c r="D2" s="1"/>
      <c r="E2" s="1"/>
      <c r="F2" s="1"/>
      <c r="G2" s="1"/>
    </row>
    <row r="3" spans="1:8" ht="12.75">
      <c r="A3" s="2">
        <v>207</v>
      </c>
      <c r="B3" s="2">
        <v>1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37</v>
      </c>
      <c r="H3" s="19">
        <f>VLOOKUP(207,'H2H points'!$A:$XFD,17,FALSE)</f>
        <v>20</v>
      </c>
    </row>
    <row r="4" spans="1:8" ht="12.75">
      <c r="A4" s="3">
        <v>195</v>
      </c>
      <c r="B4" s="3">
        <v>4</v>
      </c>
      <c r="C4" s="3" t="s">
        <v>43</v>
      </c>
      <c r="D4" s="3" t="s">
        <v>44</v>
      </c>
      <c r="E4" s="3" t="s">
        <v>35</v>
      </c>
      <c r="F4" s="3" t="s">
        <v>36</v>
      </c>
      <c r="G4" s="3" t="s">
        <v>37</v>
      </c>
      <c r="H4" s="19">
        <f>VLOOKUP(195,'H2H points'!$A:$XFD,17,FALSE)</f>
        <v>20</v>
      </c>
    </row>
    <row r="5" spans="1:8" ht="12.75">
      <c r="A5" s="3">
        <v>227</v>
      </c>
      <c r="B5" s="3">
        <v>5</v>
      </c>
      <c r="C5" s="3" t="s">
        <v>45</v>
      </c>
      <c r="D5" s="3" t="s">
        <v>46</v>
      </c>
      <c r="E5" s="3" t="s">
        <v>35</v>
      </c>
      <c r="F5" s="3" t="s">
        <v>36</v>
      </c>
      <c r="G5" s="3" t="s">
        <v>37</v>
      </c>
      <c r="H5" s="19">
        <f>VLOOKUP(227,'H2H points'!$A:$XFD,17,FALSE)</f>
        <v>20</v>
      </c>
    </row>
    <row r="6" spans="1:8" ht="12.75">
      <c r="A6" s="3">
        <v>220</v>
      </c>
      <c r="B6" s="3">
        <v>7</v>
      </c>
      <c r="C6" s="3" t="s">
        <v>49</v>
      </c>
      <c r="D6" s="3" t="s">
        <v>50</v>
      </c>
      <c r="E6" s="3" t="s">
        <v>35</v>
      </c>
      <c r="F6" s="3" t="s">
        <v>55</v>
      </c>
      <c r="G6" s="3" t="s">
        <v>37</v>
      </c>
      <c r="H6" s="19">
        <f>VLOOKUP(220,'H2H points'!$A:$XFD,17,FALSE)</f>
        <v>18</v>
      </c>
    </row>
    <row r="7" spans="1:8" ht="12.75">
      <c r="A7" s="3">
        <v>192</v>
      </c>
      <c r="B7" s="3">
        <v>8</v>
      </c>
      <c r="C7" s="3" t="s">
        <v>51</v>
      </c>
      <c r="D7" s="3" t="s">
        <v>52</v>
      </c>
      <c r="E7" s="3" t="s">
        <v>35</v>
      </c>
      <c r="F7" s="3" t="s">
        <v>36</v>
      </c>
      <c r="G7" s="3" t="s">
        <v>37</v>
      </c>
      <c r="H7" s="19">
        <f>VLOOKUP(192,'H2H points'!$A:$XFD,17,FALSE)</f>
        <v>18</v>
      </c>
    </row>
    <row r="8" spans="1:8" ht="12.75">
      <c r="A8" s="2">
        <v>290</v>
      </c>
      <c r="B8" s="2">
        <v>2</v>
      </c>
      <c r="C8" s="2" t="s">
        <v>38</v>
      </c>
      <c r="D8" s="2" t="s">
        <v>39</v>
      </c>
      <c r="E8" s="2" t="s">
        <v>35</v>
      </c>
      <c r="F8" s="2" t="s">
        <v>40</v>
      </c>
      <c r="G8" s="2" t="s">
        <v>37</v>
      </c>
      <c r="H8" s="19">
        <f>VLOOKUP(290,'H2H points'!$A:$XFD,17,FALSE)</f>
        <v>16</v>
      </c>
    </row>
    <row r="9" spans="1:8" ht="12.75">
      <c r="A9" s="3">
        <v>254</v>
      </c>
      <c r="B9" s="3">
        <v>3</v>
      </c>
      <c r="C9" s="3" t="s">
        <v>41</v>
      </c>
      <c r="D9" s="3" t="s">
        <v>42</v>
      </c>
      <c r="E9" s="3" t="s">
        <v>35</v>
      </c>
      <c r="F9" s="3" t="s">
        <v>36</v>
      </c>
      <c r="G9" s="3" t="s">
        <v>37</v>
      </c>
      <c r="H9" s="19">
        <f>VLOOKUP(254,'H2H points'!$A:$XFD,17,FALSE)</f>
        <v>16</v>
      </c>
    </row>
    <row r="10" spans="1:8" ht="12.75">
      <c r="A10" s="3">
        <v>249</v>
      </c>
      <c r="B10" s="3">
        <v>6</v>
      </c>
      <c r="C10" s="3" t="s">
        <v>47</v>
      </c>
      <c r="D10" s="3" t="s">
        <v>48</v>
      </c>
      <c r="E10" s="3" t="s">
        <v>35</v>
      </c>
      <c r="F10" s="3" t="s">
        <v>36</v>
      </c>
      <c r="G10" s="3" t="s">
        <v>37</v>
      </c>
      <c r="H10" s="19">
        <f>VLOOKUP(249,'H2H points'!$A:$XFD,17,FALSE)</f>
        <v>16</v>
      </c>
    </row>
    <row r="11" spans="1:8" ht="12.75">
      <c r="A11" s="7">
        <v>250</v>
      </c>
      <c r="B11" s="7">
        <v>9</v>
      </c>
      <c r="C11" s="7" t="s">
        <v>53</v>
      </c>
      <c r="D11" s="7" t="s">
        <v>54</v>
      </c>
      <c r="E11" s="7" t="s">
        <v>35</v>
      </c>
      <c r="F11" s="7" t="s">
        <v>36</v>
      </c>
      <c r="G11" s="7" t="s">
        <v>37</v>
      </c>
      <c r="H11" s="19">
        <f>VLOOKUP(250,'H2H points'!$A:$XFD,17,FALSE)</f>
        <v>16</v>
      </c>
    </row>
    <row r="12" spans="1:8" ht="13.5" thickBot="1">
      <c r="A12" s="4"/>
      <c r="B12" s="4"/>
      <c r="C12" s="4"/>
      <c r="D12" s="4"/>
      <c r="E12" s="4"/>
      <c r="F12" s="4"/>
      <c r="G12" s="4"/>
      <c r="H12" s="24"/>
    </row>
    <row r="13" spans="1:7" ht="12.75">
      <c r="A13" s="1" t="s">
        <v>7</v>
      </c>
      <c r="C13" s="3"/>
      <c r="D13" s="3"/>
      <c r="E13" s="3"/>
      <c r="F13" s="3"/>
      <c r="G13" s="3"/>
    </row>
    <row r="14" spans="1:8" ht="12.75">
      <c r="A14" s="2">
        <v>251</v>
      </c>
      <c r="B14" s="2">
        <v>14</v>
      </c>
      <c r="C14" s="2" t="s">
        <v>64</v>
      </c>
      <c r="D14" s="2" t="s">
        <v>65</v>
      </c>
      <c r="E14" s="2" t="s">
        <v>35</v>
      </c>
      <c r="F14" s="2" t="s">
        <v>36</v>
      </c>
      <c r="G14" s="2" t="s">
        <v>58</v>
      </c>
      <c r="H14" s="19">
        <f>VLOOKUP(251,'H2H points'!$A:$XFD,17,FALSE)</f>
        <v>21</v>
      </c>
    </row>
    <row r="15" spans="1:8" ht="12.75">
      <c r="A15" s="6">
        <v>214</v>
      </c>
      <c r="B15" s="6">
        <v>16</v>
      </c>
      <c r="C15" s="6" t="s">
        <v>67</v>
      </c>
      <c r="D15" s="6" t="s">
        <v>68</v>
      </c>
      <c r="E15" s="6" t="s">
        <v>35</v>
      </c>
      <c r="F15" s="6" t="s">
        <v>36</v>
      </c>
      <c r="G15" s="6" t="s">
        <v>58</v>
      </c>
      <c r="H15" s="19">
        <f>VLOOKUP(214,'H2H points'!$A:$XFD,17,FALSE)</f>
        <v>21</v>
      </c>
    </row>
    <row r="16" spans="1:8" ht="12.75">
      <c r="A16" s="2">
        <v>235</v>
      </c>
      <c r="B16" s="2">
        <v>11</v>
      </c>
      <c r="C16" s="2" t="s">
        <v>59</v>
      </c>
      <c r="D16" s="2" t="s">
        <v>60</v>
      </c>
      <c r="E16" s="2" t="s">
        <v>35</v>
      </c>
      <c r="F16" s="2" t="s">
        <v>36</v>
      </c>
      <c r="G16" s="2" t="s">
        <v>58</v>
      </c>
      <c r="H16" s="19">
        <f>VLOOKUP(235,'H2H points'!$A:$XFD,17,FALSE)</f>
        <v>20</v>
      </c>
    </row>
    <row r="17" spans="1:8" ht="12.75">
      <c r="A17" s="2">
        <v>226</v>
      </c>
      <c r="B17" s="2">
        <v>13</v>
      </c>
      <c r="C17" s="2" t="s">
        <v>61</v>
      </c>
      <c r="D17" s="2" t="s">
        <v>63</v>
      </c>
      <c r="E17" s="2" t="s">
        <v>35</v>
      </c>
      <c r="F17" s="2" t="s">
        <v>36</v>
      </c>
      <c r="G17" s="2" t="s">
        <v>58</v>
      </c>
      <c r="H17" s="19">
        <f>VLOOKUP(226,'H2H points'!$A:$XFD,17,FALSE)</f>
        <v>20</v>
      </c>
    </row>
    <row r="18" spans="1:8" ht="12.75">
      <c r="A18" s="2">
        <v>240</v>
      </c>
      <c r="B18" s="2">
        <v>15</v>
      </c>
      <c r="C18" s="2" t="s">
        <v>66</v>
      </c>
      <c r="D18" s="2" t="s">
        <v>57</v>
      </c>
      <c r="E18" s="2" t="s">
        <v>35</v>
      </c>
      <c r="F18" s="2" t="s">
        <v>36</v>
      </c>
      <c r="G18" s="2" t="s">
        <v>58</v>
      </c>
      <c r="H18" s="19">
        <f>VLOOKUP(240,'H2H points'!$A:$XFD,17,FALSE)</f>
        <v>20</v>
      </c>
    </row>
    <row r="19" spans="1:8" ht="12.75">
      <c r="A19" s="2">
        <v>288</v>
      </c>
      <c r="B19" s="2">
        <v>10</v>
      </c>
      <c r="C19" s="2" t="s">
        <v>56</v>
      </c>
      <c r="D19" s="2" t="s">
        <v>57</v>
      </c>
      <c r="E19" s="2" t="s">
        <v>35</v>
      </c>
      <c r="F19" s="2" t="s">
        <v>36</v>
      </c>
      <c r="G19" s="2" t="s">
        <v>58</v>
      </c>
      <c r="H19" s="19">
        <f>VLOOKUP(288,'H2H points'!$A:$XFD,17,FALSE)</f>
        <v>18</v>
      </c>
    </row>
    <row r="20" spans="1:8" ht="12.75">
      <c r="A20" s="2">
        <v>225</v>
      </c>
      <c r="B20" s="2">
        <v>12</v>
      </c>
      <c r="C20" s="2" t="s">
        <v>61</v>
      </c>
      <c r="D20" s="2" t="s">
        <v>62</v>
      </c>
      <c r="E20" s="2" t="s">
        <v>35</v>
      </c>
      <c r="F20" s="2" t="s">
        <v>36</v>
      </c>
      <c r="G20" s="2" t="s">
        <v>58</v>
      </c>
      <c r="H20" s="19" t="s">
        <v>193</v>
      </c>
    </row>
    <row r="21" spans="1:8" ht="13.5" thickBot="1">
      <c r="A21" s="5"/>
      <c r="B21" s="5"/>
      <c r="C21" s="5"/>
      <c r="D21" s="5"/>
      <c r="E21" s="5"/>
      <c r="F21" s="5"/>
      <c r="G21" s="5"/>
      <c r="H21" s="24"/>
    </row>
    <row r="22" spans="1:7" ht="12.75">
      <c r="A22" s="1" t="s">
        <v>8</v>
      </c>
      <c r="C22" s="3"/>
      <c r="D22" s="3"/>
      <c r="E22" s="3"/>
      <c r="F22" s="3"/>
      <c r="G22" s="3"/>
    </row>
    <row r="23" spans="1:8" ht="12.75">
      <c r="A23" s="3">
        <v>261</v>
      </c>
      <c r="B23" s="3">
        <v>89</v>
      </c>
      <c r="C23" s="3" t="s">
        <v>185</v>
      </c>
      <c r="D23" s="3" t="s">
        <v>186</v>
      </c>
      <c r="E23" s="3" t="s">
        <v>71</v>
      </c>
      <c r="F23" s="3" t="s">
        <v>36</v>
      </c>
      <c r="G23" s="3" t="s">
        <v>37</v>
      </c>
      <c r="H23" s="19">
        <f>VLOOKUP(261,'H2H points'!$A:$XFD,17,FALSE)</f>
        <v>23</v>
      </c>
    </row>
    <row r="24" spans="1:8" ht="12.75">
      <c r="A24" s="2">
        <v>259</v>
      </c>
      <c r="B24" s="2">
        <v>17</v>
      </c>
      <c r="C24" s="2" t="s">
        <v>69</v>
      </c>
      <c r="D24" s="2" t="s">
        <v>70</v>
      </c>
      <c r="E24" s="2" t="s">
        <v>71</v>
      </c>
      <c r="F24" s="2" t="s">
        <v>36</v>
      </c>
      <c r="G24" s="2" t="s">
        <v>37</v>
      </c>
      <c r="H24" s="19">
        <f>VLOOKUP(259,'H2H points'!$A:$XFD,17,FALSE)</f>
        <v>22</v>
      </c>
    </row>
    <row r="25" spans="1:8" ht="12.75">
      <c r="A25" s="2">
        <v>187</v>
      </c>
      <c r="B25" s="2">
        <v>19</v>
      </c>
      <c r="C25" s="2" t="s">
        <v>74</v>
      </c>
      <c r="D25" s="2" t="s">
        <v>75</v>
      </c>
      <c r="E25" s="2" t="s">
        <v>71</v>
      </c>
      <c r="F25" s="2" t="s">
        <v>40</v>
      </c>
      <c r="G25" s="2" t="s">
        <v>37</v>
      </c>
      <c r="H25" s="19">
        <f>VLOOKUP(187,'H2H points'!$A:$XFD,17,FALSE)</f>
        <v>22</v>
      </c>
    </row>
    <row r="26" spans="1:8" ht="12.75">
      <c r="A26" s="2">
        <v>252</v>
      </c>
      <c r="B26" s="2">
        <v>18</v>
      </c>
      <c r="C26" s="2" t="s">
        <v>72</v>
      </c>
      <c r="D26" s="2" t="s">
        <v>73</v>
      </c>
      <c r="E26" s="2" t="s">
        <v>71</v>
      </c>
      <c r="F26" s="2" t="s">
        <v>36</v>
      </c>
      <c r="G26" s="2" t="s">
        <v>37</v>
      </c>
      <c r="H26" s="19">
        <f>VLOOKUP(252,'H2H points'!$A:$XFD,17,FALSE)</f>
        <v>20</v>
      </c>
    </row>
    <row r="27" spans="1:8" ht="12.75">
      <c r="A27" s="2">
        <v>297</v>
      </c>
      <c r="B27" s="2">
        <v>21</v>
      </c>
      <c r="C27" s="2" t="s">
        <v>64</v>
      </c>
      <c r="D27" s="2" t="s">
        <v>76</v>
      </c>
      <c r="E27" s="2" t="s">
        <v>71</v>
      </c>
      <c r="F27" s="2" t="s">
        <v>36</v>
      </c>
      <c r="G27" s="2" t="s">
        <v>37</v>
      </c>
      <c r="H27" s="19">
        <f>VLOOKUP(297,'H2H points'!$A:$XFD,17,FALSE)</f>
        <v>20</v>
      </c>
    </row>
    <row r="28" spans="1:8" ht="13.5" thickBot="1">
      <c r="A28" s="5"/>
      <c r="B28" s="5"/>
      <c r="C28" s="5"/>
      <c r="D28" s="5"/>
      <c r="E28" s="5"/>
      <c r="F28" s="5"/>
      <c r="G28" s="5"/>
      <c r="H28" s="24"/>
    </row>
    <row r="29" spans="1:7" ht="12.75">
      <c r="A29" s="1" t="s">
        <v>9</v>
      </c>
      <c r="C29" s="3"/>
      <c r="D29" s="3"/>
      <c r="E29" s="3"/>
      <c r="F29" s="3"/>
      <c r="G29" s="3"/>
    </row>
    <row r="30" spans="1:8" ht="12.75">
      <c r="A30" s="2">
        <v>248</v>
      </c>
      <c r="B30" s="2">
        <v>26</v>
      </c>
      <c r="C30" s="2" t="s">
        <v>84</v>
      </c>
      <c r="D30" s="2" t="s">
        <v>85</v>
      </c>
      <c r="E30" s="2" t="s">
        <v>71</v>
      </c>
      <c r="F30" s="2" t="s">
        <v>86</v>
      </c>
      <c r="G30" s="2" t="s">
        <v>58</v>
      </c>
      <c r="H30" s="19">
        <f>VLOOKUP(248,'H2H points'!$A:$XFD,17,FALSE)</f>
        <v>26</v>
      </c>
    </row>
    <row r="31" spans="1:8" ht="12.75">
      <c r="A31" s="2">
        <v>191</v>
      </c>
      <c r="B31" s="2">
        <v>24</v>
      </c>
      <c r="C31" s="2" t="s">
        <v>80</v>
      </c>
      <c r="D31" s="2" t="s">
        <v>81</v>
      </c>
      <c r="E31" s="2" t="s">
        <v>71</v>
      </c>
      <c r="F31" s="2" t="s">
        <v>36</v>
      </c>
      <c r="G31" s="2" t="s">
        <v>58</v>
      </c>
      <c r="H31" s="19">
        <f>VLOOKUP(191,'H2H points'!$A:$XFD,17,FALSE)</f>
        <v>25</v>
      </c>
    </row>
    <row r="32" spans="1:8" ht="12.75">
      <c r="A32" s="2">
        <v>278</v>
      </c>
      <c r="B32" s="2">
        <v>29</v>
      </c>
      <c r="C32" s="2" t="s">
        <v>88</v>
      </c>
      <c r="D32" s="2" t="s">
        <v>90</v>
      </c>
      <c r="E32" s="2" t="s">
        <v>71</v>
      </c>
      <c r="F32" s="2" t="s">
        <v>36</v>
      </c>
      <c r="G32" s="2" t="s">
        <v>58</v>
      </c>
      <c r="H32" s="19">
        <f>VLOOKUP(278,'H2H points'!$A:$XFD,17,FALSE)</f>
        <v>24</v>
      </c>
    </row>
    <row r="33" spans="1:8" ht="12.75">
      <c r="A33" s="2">
        <v>241</v>
      </c>
      <c r="B33" s="2">
        <v>91</v>
      </c>
      <c r="C33" s="2" t="s">
        <v>188</v>
      </c>
      <c r="D33" s="2" t="s">
        <v>189</v>
      </c>
      <c r="E33" s="2" t="s">
        <v>71</v>
      </c>
      <c r="F33" s="2" t="s">
        <v>190</v>
      </c>
      <c r="G33" s="2" t="s">
        <v>58</v>
      </c>
      <c r="H33" s="19">
        <f>VLOOKUP(241,'H2H points'!$A:$XFD,17,FALSE)</f>
        <v>24</v>
      </c>
    </row>
    <row r="34" spans="1:8" ht="12.75">
      <c r="A34" s="2">
        <v>253</v>
      </c>
      <c r="B34" s="2">
        <v>23</v>
      </c>
      <c r="C34" s="2" t="s">
        <v>41</v>
      </c>
      <c r="D34" s="2" t="s">
        <v>60</v>
      </c>
      <c r="E34" s="2" t="s">
        <v>71</v>
      </c>
      <c r="F34" s="2" t="s">
        <v>36</v>
      </c>
      <c r="G34" s="2" t="s">
        <v>58</v>
      </c>
      <c r="H34" s="19">
        <f>VLOOKUP(253,'H2H points'!$A:$XFD,17,FALSE)</f>
        <v>22</v>
      </c>
    </row>
    <row r="35" spans="1:8" ht="12.75">
      <c r="A35" s="2">
        <v>293</v>
      </c>
      <c r="B35" s="2">
        <v>30</v>
      </c>
      <c r="C35" s="2" t="s">
        <v>66</v>
      </c>
      <c r="D35" s="2" t="s">
        <v>91</v>
      </c>
      <c r="E35" s="2" t="s">
        <v>71</v>
      </c>
      <c r="F35" s="2" t="s">
        <v>36</v>
      </c>
      <c r="G35" s="2" t="s">
        <v>58</v>
      </c>
      <c r="H35" s="19">
        <f>VLOOKUP(293,'H2H points'!$A:$XFD,17,FALSE)</f>
        <v>22</v>
      </c>
    </row>
    <row r="36" spans="1:8" ht="12.75">
      <c r="A36" s="2">
        <v>219</v>
      </c>
      <c r="B36" s="2">
        <v>25</v>
      </c>
      <c r="C36" s="2" t="s">
        <v>82</v>
      </c>
      <c r="D36" s="2" t="s">
        <v>83</v>
      </c>
      <c r="E36" s="2" t="s">
        <v>71</v>
      </c>
      <c r="F36" s="2" t="s">
        <v>79</v>
      </c>
      <c r="G36" s="2" t="s">
        <v>58</v>
      </c>
      <c r="H36" s="19">
        <f>VLOOKUP(219,'H2H points'!$A:$XFD,17,FALSE)</f>
        <v>21</v>
      </c>
    </row>
    <row r="37" spans="1:8" ht="12.75">
      <c r="A37" s="2">
        <v>215</v>
      </c>
      <c r="B37" s="2">
        <v>27</v>
      </c>
      <c r="C37" s="2" t="s">
        <v>87</v>
      </c>
      <c r="D37" s="2" t="s">
        <v>88</v>
      </c>
      <c r="E37" s="2" t="s">
        <v>71</v>
      </c>
      <c r="F37" s="2" t="s">
        <v>36</v>
      </c>
      <c r="G37" s="2" t="s">
        <v>58</v>
      </c>
      <c r="H37" s="19">
        <f>VLOOKUP(215,'H2H points'!$A:$XFD,17,FALSE)</f>
        <v>20</v>
      </c>
    </row>
    <row r="38" spans="1:8" ht="12.75">
      <c r="A38" s="2">
        <v>196</v>
      </c>
      <c r="B38" s="2">
        <v>28</v>
      </c>
      <c r="C38" s="2" t="s">
        <v>43</v>
      </c>
      <c r="D38" s="2" t="s">
        <v>89</v>
      </c>
      <c r="E38" s="2" t="s">
        <v>71</v>
      </c>
      <c r="F38" s="2" t="s">
        <v>36</v>
      </c>
      <c r="G38" s="2" t="s">
        <v>58</v>
      </c>
      <c r="H38" s="19">
        <f>VLOOKUP(196,'H2H points'!$A:$XFD,17,FALSE)</f>
        <v>20</v>
      </c>
    </row>
    <row r="39" spans="1:8" ht="12.75">
      <c r="A39" s="2">
        <v>193</v>
      </c>
      <c r="B39" s="2">
        <v>31</v>
      </c>
      <c r="C39" s="2" t="s">
        <v>51</v>
      </c>
      <c r="D39" s="2" t="s">
        <v>92</v>
      </c>
      <c r="E39" s="2" t="s">
        <v>71</v>
      </c>
      <c r="F39" s="2" t="s">
        <v>36</v>
      </c>
      <c r="G39" s="2" t="s">
        <v>58</v>
      </c>
      <c r="H39" s="19">
        <f>VLOOKUP(193,'H2H points'!$A:$XFD,17,FALSE)</f>
        <v>20</v>
      </c>
    </row>
    <row r="40" spans="1:8" ht="12.75">
      <c r="A40" s="2">
        <v>239</v>
      </c>
      <c r="B40" s="2">
        <v>22</v>
      </c>
      <c r="C40" s="2" t="s">
        <v>77</v>
      </c>
      <c r="D40" s="2" t="s">
        <v>78</v>
      </c>
      <c r="E40" s="2" t="s">
        <v>71</v>
      </c>
      <c r="F40" s="2" t="s">
        <v>79</v>
      </c>
      <c r="G40" s="2" t="s">
        <v>58</v>
      </c>
      <c r="H40" s="19">
        <f>VLOOKUP(239,'H2H points'!$A:$XFD,17,FALSE)</f>
        <v>19</v>
      </c>
    </row>
    <row r="41" spans="1:8" ht="13.5" thickBot="1">
      <c r="A41" s="4">
        <v>213</v>
      </c>
      <c r="B41" s="4">
        <v>88</v>
      </c>
      <c r="C41" s="4" t="s">
        <v>184</v>
      </c>
      <c r="D41" s="4" t="s">
        <v>156</v>
      </c>
      <c r="E41" s="4" t="s">
        <v>71</v>
      </c>
      <c r="F41" s="4" t="s">
        <v>111</v>
      </c>
      <c r="G41" s="4" t="s">
        <v>58</v>
      </c>
      <c r="H41" s="24"/>
    </row>
    <row r="42" spans="1:7" ht="12.75">
      <c r="A42" s="1" t="s">
        <v>10</v>
      </c>
      <c r="B42" s="7"/>
      <c r="C42" s="3"/>
      <c r="D42" s="3"/>
      <c r="E42" s="3"/>
      <c r="F42" s="3"/>
      <c r="G42" s="3"/>
    </row>
    <row r="43" spans="1:8" ht="12.75">
      <c r="A43" s="2">
        <v>265</v>
      </c>
      <c r="B43" s="2">
        <v>33</v>
      </c>
      <c r="C43" s="2" t="s">
        <v>95</v>
      </c>
      <c r="D43" s="2" t="s">
        <v>96</v>
      </c>
      <c r="E43" s="2" t="s">
        <v>94</v>
      </c>
      <c r="F43" s="2" t="s">
        <v>97</v>
      </c>
      <c r="G43" s="2" t="s">
        <v>37</v>
      </c>
      <c r="H43" s="19">
        <f>VLOOKUP(265,'H2H points'!$A:$XFD,17,FALSE)</f>
        <v>29</v>
      </c>
    </row>
    <row r="44" spans="1:8" ht="12.75">
      <c r="A44" s="2">
        <v>243</v>
      </c>
      <c r="B44" s="2">
        <v>32</v>
      </c>
      <c r="C44" s="2" t="s">
        <v>93</v>
      </c>
      <c r="D44" s="2" t="s">
        <v>48</v>
      </c>
      <c r="E44" s="2" t="s">
        <v>94</v>
      </c>
      <c r="F44" s="2" t="s">
        <v>36</v>
      </c>
      <c r="G44" s="2" t="s">
        <v>37</v>
      </c>
      <c r="H44" s="19">
        <f>VLOOKUP(243,'H2H points'!$A:$XFD,17,FALSE)</f>
        <v>27</v>
      </c>
    </row>
    <row r="45" spans="1:8" ht="12.75">
      <c r="A45" s="2">
        <v>234</v>
      </c>
      <c r="B45" s="2">
        <v>34</v>
      </c>
      <c r="C45" s="2" t="s">
        <v>98</v>
      </c>
      <c r="D45" s="2" t="s">
        <v>42</v>
      </c>
      <c r="E45" s="2" t="s">
        <v>94</v>
      </c>
      <c r="F45" s="2" t="s">
        <v>99</v>
      </c>
      <c r="G45" s="2" t="s">
        <v>37</v>
      </c>
      <c r="H45" s="19">
        <f>VLOOKUP(234,'H2H points'!$A:$XFD,17,FALSE)</f>
        <v>22</v>
      </c>
    </row>
    <row r="46" spans="1:8" ht="13.5" thickBot="1">
      <c r="A46" s="4"/>
      <c r="B46" s="4"/>
      <c r="C46" s="4"/>
      <c r="D46" s="4"/>
      <c r="E46" s="4"/>
      <c r="F46" s="4"/>
      <c r="G46" s="4"/>
      <c r="H46" s="24"/>
    </row>
    <row r="47" spans="1:7" ht="12.75">
      <c r="A47" s="1" t="s">
        <v>11</v>
      </c>
      <c r="C47" s="3"/>
      <c r="D47" s="3"/>
      <c r="E47" s="3"/>
      <c r="F47" s="3"/>
      <c r="G47" s="3"/>
    </row>
    <row r="48" spans="1:8" ht="12.75">
      <c r="A48" s="3">
        <v>242</v>
      </c>
      <c r="B48" s="3">
        <v>92</v>
      </c>
      <c r="C48" s="3" t="s">
        <v>188</v>
      </c>
      <c r="D48" s="3" t="s">
        <v>118</v>
      </c>
      <c r="E48" s="3" t="s">
        <v>94</v>
      </c>
      <c r="F48" s="3" t="s">
        <v>190</v>
      </c>
      <c r="G48" s="3" t="s">
        <v>58</v>
      </c>
      <c r="H48" s="19">
        <f>VLOOKUP(242,'H2H points'!$A:$XFD,17,FALSE)</f>
        <v>31</v>
      </c>
    </row>
    <row r="49" spans="1:8" ht="12.75">
      <c r="A49" s="2">
        <v>173</v>
      </c>
      <c r="B49" s="2">
        <v>38</v>
      </c>
      <c r="C49" s="2" t="s">
        <v>105</v>
      </c>
      <c r="D49" s="2" t="s">
        <v>57</v>
      </c>
      <c r="E49" s="2" t="s">
        <v>94</v>
      </c>
      <c r="F49" s="2" t="s">
        <v>36</v>
      </c>
      <c r="G49" s="2" t="s">
        <v>58</v>
      </c>
      <c r="H49" s="19">
        <f>VLOOKUP(173,'H2H points'!$A:$XFD,17,FALSE)</f>
        <v>30</v>
      </c>
    </row>
    <row r="50" spans="1:8" ht="12.75">
      <c r="A50" s="2">
        <v>291</v>
      </c>
      <c r="B50" s="2">
        <v>37</v>
      </c>
      <c r="C50" s="2" t="s">
        <v>38</v>
      </c>
      <c r="D50" s="2" t="s">
        <v>104</v>
      </c>
      <c r="E50" s="2" t="s">
        <v>94</v>
      </c>
      <c r="F50" s="2" t="s">
        <v>40</v>
      </c>
      <c r="G50" s="2" t="s">
        <v>58</v>
      </c>
      <c r="H50" s="19">
        <f>VLOOKUP(291,'H2H points'!$A:$XFD,17,FALSE)</f>
        <v>29</v>
      </c>
    </row>
    <row r="51" spans="1:8" ht="12.75">
      <c r="A51" s="2">
        <v>202</v>
      </c>
      <c r="B51" s="2">
        <v>35</v>
      </c>
      <c r="C51" s="2" t="s">
        <v>100</v>
      </c>
      <c r="D51" s="2" t="s">
        <v>101</v>
      </c>
      <c r="E51" s="2" t="s">
        <v>94</v>
      </c>
      <c r="F51" s="2" t="s">
        <v>36</v>
      </c>
      <c r="G51" s="2" t="s">
        <v>58</v>
      </c>
      <c r="H51" s="19">
        <f>VLOOKUP(202,'H2H points'!$A:$XFD,17,FALSE)</f>
        <v>27</v>
      </c>
    </row>
    <row r="52" spans="1:8" ht="12.75">
      <c r="A52" s="2">
        <v>204</v>
      </c>
      <c r="B52" s="2">
        <v>36</v>
      </c>
      <c r="C52" s="2" t="s">
        <v>102</v>
      </c>
      <c r="D52" s="2" t="s">
        <v>85</v>
      </c>
      <c r="E52" s="2" t="s">
        <v>94</v>
      </c>
      <c r="F52" s="2" t="s">
        <v>103</v>
      </c>
      <c r="G52" s="2" t="s">
        <v>58</v>
      </c>
      <c r="H52" s="19">
        <f>VLOOKUP(204,'H2H points'!$A:$XFD,17,FALSE)</f>
        <v>25</v>
      </c>
    </row>
    <row r="53" spans="1:8" ht="12.75">
      <c r="A53" s="6">
        <v>296</v>
      </c>
      <c r="B53" s="6">
        <v>87</v>
      </c>
      <c r="C53" s="6" t="s">
        <v>67</v>
      </c>
      <c r="D53" s="6" t="s">
        <v>60</v>
      </c>
      <c r="E53" s="6" t="s">
        <v>94</v>
      </c>
      <c r="F53" s="6" t="s">
        <v>36</v>
      </c>
      <c r="G53" s="6" t="s">
        <v>58</v>
      </c>
      <c r="H53" s="19">
        <f>VLOOKUP(296,'H2H points'!$A:$XFD,17,FALSE)</f>
        <v>24</v>
      </c>
    </row>
    <row r="54" spans="1:8" ht="13.5" thickBot="1">
      <c r="A54" s="5">
        <v>274</v>
      </c>
      <c r="B54" s="5">
        <v>39</v>
      </c>
      <c r="C54" s="5" t="s">
        <v>61</v>
      </c>
      <c r="D54" s="5" t="s">
        <v>106</v>
      </c>
      <c r="E54" s="5" t="s">
        <v>94</v>
      </c>
      <c r="F54" s="5" t="s">
        <v>107</v>
      </c>
      <c r="G54" s="5" t="s">
        <v>58</v>
      </c>
      <c r="H54" s="24">
        <f>VLOOKUP(274,'H2H points'!$A:$XFD,17,FALSE)</f>
        <v>16</v>
      </c>
    </row>
    <row r="55" spans="1:7" ht="12.75">
      <c r="A55" s="1" t="s">
        <v>12</v>
      </c>
      <c r="C55" s="3"/>
      <c r="D55" s="3"/>
      <c r="E55" s="3"/>
      <c r="F55" s="3"/>
      <c r="G55" s="3"/>
    </row>
    <row r="56" spans="1:8" ht="12.75">
      <c r="A56" s="6">
        <v>208</v>
      </c>
      <c r="B56" s="6">
        <v>43</v>
      </c>
      <c r="C56" s="6" t="s">
        <v>116</v>
      </c>
      <c r="D56" s="6" t="s">
        <v>117</v>
      </c>
      <c r="E56" s="6" t="s">
        <v>110</v>
      </c>
      <c r="F56" s="6" t="s">
        <v>79</v>
      </c>
      <c r="G56" s="6" t="s">
        <v>37</v>
      </c>
      <c r="H56" s="20">
        <f>VLOOKUP(208,'H2H points'!$A:$XFD,17,FALSE)</f>
        <v>29</v>
      </c>
    </row>
    <row r="57" spans="1:8" ht="12.75">
      <c r="A57" s="2">
        <v>181</v>
      </c>
      <c r="B57" s="2">
        <v>42</v>
      </c>
      <c r="C57" s="2" t="s">
        <v>114</v>
      </c>
      <c r="D57" s="2" t="s">
        <v>115</v>
      </c>
      <c r="E57" s="2" t="s">
        <v>110</v>
      </c>
      <c r="F57" s="2" t="s">
        <v>36</v>
      </c>
      <c r="G57" s="2" t="s">
        <v>37</v>
      </c>
      <c r="H57" s="19">
        <f>VLOOKUP(181,'H2H points'!$A:$XFD,17,FALSE)</f>
        <v>19</v>
      </c>
    </row>
    <row r="58" spans="1:8" ht="12.75">
      <c r="A58" s="2">
        <v>281</v>
      </c>
      <c r="B58" s="2">
        <v>40</v>
      </c>
      <c r="C58" s="2" t="s">
        <v>108</v>
      </c>
      <c r="D58" s="2" t="s">
        <v>109</v>
      </c>
      <c r="E58" s="2" t="s">
        <v>110</v>
      </c>
      <c r="F58" s="2" t="s">
        <v>111</v>
      </c>
      <c r="G58" s="2" t="s">
        <v>37</v>
      </c>
      <c r="H58" s="19">
        <f>VLOOKUP(281,'H2H points'!$A:$XFD,17,FALSE)</f>
        <v>18</v>
      </c>
    </row>
    <row r="59" spans="1:8" ht="12.75">
      <c r="A59" s="2">
        <v>255</v>
      </c>
      <c r="B59" s="2">
        <v>41</v>
      </c>
      <c r="C59" s="2" t="s">
        <v>112</v>
      </c>
      <c r="D59" s="2" t="s">
        <v>113</v>
      </c>
      <c r="E59" s="2" t="s">
        <v>110</v>
      </c>
      <c r="F59" s="2" t="s">
        <v>36</v>
      </c>
      <c r="G59" s="2" t="s">
        <v>37</v>
      </c>
      <c r="H59" s="19" t="s">
        <v>193</v>
      </c>
    </row>
    <row r="60" spans="1:8" ht="13.5" thickBot="1">
      <c r="A60" s="4"/>
      <c r="B60" s="4"/>
      <c r="C60" s="4"/>
      <c r="D60" s="4"/>
      <c r="E60" s="4"/>
      <c r="F60" s="4"/>
      <c r="G60" s="4"/>
      <c r="H60" s="24"/>
    </row>
    <row r="61" spans="1:7" ht="12.75">
      <c r="A61" s="1" t="s">
        <v>13</v>
      </c>
      <c r="C61" s="3"/>
      <c r="D61" s="3"/>
      <c r="E61" s="3"/>
      <c r="F61" s="3"/>
      <c r="G61" s="3"/>
    </row>
    <row r="62" spans="1:8" ht="12.75">
      <c r="A62" s="2">
        <v>236</v>
      </c>
      <c r="B62" s="2">
        <v>45</v>
      </c>
      <c r="C62" s="2" t="s">
        <v>119</v>
      </c>
      <c r="D62" s="2" t="s">
        <v>120</v>
      </c>
      <c r="E62" s="2" t="s">
        <v>110</v>
      </c>
      <c r="F62" s="2" t="s">
        <v>36</v>
      </c>
      <c r="G62" s="2" t="s">
        <v>58</v>
      </c>
      <c r="H62" s="19">
        <f>VLOOKUP(236,'H2H points'!$A:$XFD,17,FALSE)</f>
        <v>33</v>
      </c>
    </row>
    <row r="63" spans="1:8" ht="12.75">
      <c r="A63" s="2">
        <v>244</v>
      </c>
      <c r="B63" s="2">
        <v>49</v>
      </c>
      <c r="C63" s="2" t="s">
        <v>127</v>
      </c>
      <c r="D63" s="2" t="s">
        <v>128</v>
      </c>
      <c r="E63" s="2" t="s">
        <v>110</v>
      </c>
      <c r="F63" s="2" t="s">
        <v>136</v>
      </c>
      <c r="G63" s="2" t="s">
        <v>58</v>
      </c>
      <c r="H63" s="19">
        <f>VLOOKUP(244,'H2H points'!$A:$XFD,17,FALSE)</f>
        <v>33</v>
      </c>
    </row>
    <row r="64" spans="1:8" ht="12.75">
      <c r="A64" s="2">
        <v>275</v>
      </c>
      <c r="B64" s="2">
        <v>47</v>
      </c>
      <c r="C64" s="2" t="s">
        <v>123</v>
      </c>
      <c r="D64" s="2" t="s">
        <v>124</v>
      </c>
      <c r="E64" s="2" t="s">
        <v>110</v>
      </c>
      <c r="F64" s="2" t="s">
        <v>36</v>
      </c>
      <c r="G64" s="2" t="s">
        <v>58</v>
      </c>
      <c r="H64" s="19">
        <f>VLOOKUP(275,'H2H points'!$A:$XFD,17,FALSE)</f>
        <v>30</v>
      </c>
    </row>
    <row r="65" spans="1:8" ht="12.75">
      <c r="A65" s="2">
        <v>285</v>
      </c>
      <c r="B65" s="2">
        <v>51</v>
      </c>
      <c r="C65" s="2" t="s">
        <v>130</v>
      </c>
      <c r="D65" s="2" t="s">
        <v>131</v>
      </c>
      <c r="E65" s="2" t="s">
        <v>110</v>
      </c>
      <c r="F65" s="2" t="s">
        <v>40</v>
      </c>
      <c r="G65" s="2" t="s">
        <v>58</v>
      </c>
      <c r="H65" s="19">
        <f>VLOOKUP(285,'H2H points'!$A:$XFD,17,FALSE)</f>
        <v>30</v>
      </c>
    </row>
    <row r="66" spans="1:8" ht="12.75">
      <c r="A66" s="2">
        <v>256</v>
      </c>
      <c r="B66" s="2">
        <v>52</v>
      </c>
      <c r="C66" s="2" t="s">
        <v>132</v>
      </c>
      <c r="D66" s="2" t="s">
        <v>133</v>
      </c>
      <c r="E66" s="2" t="s">
        <v>110</v>
      </c>
      <c r="F66" s="2" t="s">
        <v>36</v>
      </c>
      <c r="G66" s="2" t="s">
        <v>58</v>
      </c>
      <c r="H66" s="19">
        <f>VLOOKUP(256,'H2H points'!$A:$XFD,17,FALSE)</f>
        <v>29</v>
      </c>
    </row>
    <row r="67" spans="1:8" ht="12.75">
      <c r="A67" s="2">
        <v>183</v>
      </c>
      <c r="B67" s="2">
        <v>48</v>
      </c>
      <c r="C67" s="2" t="s">
        <v>125</v>
      </c>
      <c r="D67" s="2" t="s">
        <v>126</v>
      </c>
      <c r="E67" s="2" t="s">
        <v>110</v>
      </c>
      <c r="F67" s="2" t="s">
        <v>36</v>
      </c>
      <c r="G67" s="2" t="s">
        <v>58</v>
      </c>
      <c r="H67" s="19">
        <f>VLOOKUP(183,'H2H points'!$A:$XFD,17,FALSE)</f>
        <v>28</v>
      </c>
    </row>
    <row r="68" spans="1:8" ht="12.75">
      <c r="A68" s="2">
        <v>203</v>
      </c>
      <c r="B68" s="2">
        <v>44</v>
      </c>
      <c r="C68" s="2" t="s">
        <v>102</v>
      </c>
      <c r="D68" s="2" t="s">
        <v>118</v>
      </c>
      <c r="E68" s="2" t="s">
        <v>110</v>
      </c>
      <c r="F68" s="2" t="s">
        <v>103</v>
      </c>
      <c r="G68" s="2" t="s">
        <v>58</v>
      </c>
      <c r="H68" s="19">
        <f>VLOOKUP(203,'H2H points'!$A:$XFD,17,FALSE)</f>
        <v>26</v>
      </c>
    </row>
    <row r="69" spans="1:8" ht="12.75">
      <c r="A69" s="2">
        <v>205</v>
      </c>
      <c r="B69" s="2">
        <v>53</v>
      </c>
      <c r="C69" s="2" t="s">
        <v>134</v>
      </c>
      <c r="D69" s="2" t="s">
        <v>135</v>
      </c>
      <c r="E69" s="2" t="s">
        <v>110</v>
      </c>
      <c r="F69" s="2" t="s">
        <v>111</v>
      </c>
      <c r="G69" s="2" t="s">
        <v>58</v>
      </c>
      <c r="H69" s="19">
        <f>VLOOKUP(205,'H2H points'!$A:$XFD,17,FALSE)</f>
        <v>26</v>
      </c>
    </row>
    <row r="70" spans="1:8" ht="12.75">
      <c r="A70" s="2">
        <v>210</v>
      </c>
      <c r="B70" s="2">
        <v>50</v>
      </c>
      <c r="C70" s="2" t="s">
        <v>129</v>
      </c>
      <c r="D70" s="2" t="s">
        <v>68</v>
      </c>
      <c r="E70" s="2" t="s">
        <v>110</v>
      </c>
      <c r="F70" s="2" t="s">
        <v>36</v>
      </c>
      <c r="G70" s="2" t="s">
        <v>58</v>
      </c>
      <c r="H70" s="19">
        <f>VLOOKUP(210,'H2H points'!$A:$XFD,17,FALSE)</f>
        <v>23</v>
      </c>
    </row>
    <row r="71" spans="1:8" ht="12.75">
      <c r="A71" s="2">
        <v>270</v>
      </c>
      <c r="B71" s="2">
        <v>46</v>
      </c>
      <c r="C71" s="2" t="s">
        <v>121</v>
      </c>
      <c r="D71" s="2" t="s">
        <v>122</v>
      </c>
      <c r="E71" s="2" t="s">
        <v>110</v>
      </c>
      <c r="F71" s="2" t="s">
        <v>36</v>
      </c>
      <c r="G71" s="2" t="s">
        <v>58</v>
      </c>
      <c r="H71" s="19">
        <f>VLOOKUP(270,'H2H points'!$A:$XFD,17,FALSE)</f>
        <v>20</v>
      </c>
    </row>
    <row r="72" spans="1:8" ht="13.5" thickBot="1">
      <c r="A72" s="5"/>
      <c r="B72" s="5"/>
      <c r="C72" s="5"/>
      <c r="D72" s="5"/>
      <c r="E72" s="5"/>
      <c r="F72" s="5"/>
      <c r="G72" s="5"/>
      <c r="H72" s="24"/>
    </row>
    <row r="73" spans="1:7" ht="12.75">
      <c r="A73" s="9" t="s">
        <v>14</v>
      </c>
      <c r="C73" s="2"/>
      <c r="D73" s="2"/>
      <c r="E73" s="2"/>
      <c r="F73" s="2"/>
      <c r="G73" s="2"/>
    </row>
    <row r="74" spans="1:8" ht="12.75">
      <c r="A74" s="2">
        <v>190</v>
      </c>
      <c r="B74" s="2">
        <v>56</v>
      </c>
      <c r="C74" s="2" t="s">
        <v>141</v>
      </c>
      <c r="D74" s="2" t="s">
        <v>142</v>
      </c>
      <c r="E74" s="2" t="s">
        <v>138</v>
      </c>
      <c r="F74" s="2" t="s">
        <v>103</v>
      </c>
      <c r="G74" s="2" t="s">
        <v>37</v>
      </c>
      <c r="H74" s="19">
        <f>VLOOKUP(190,'H2H points'!$A:$XFD,17,FALSE)</f>
        <v>37</v>
      </c>
    </row>
    <row r="75" spans="1:8" ht="12.75">
      <c r="A75" s="2">
        <v>269</v>
      </c>
      <c r="B75" s="2">
        <v>54</v>
      </c>
      <c r="C75" s="2" t="s">
        <v>121</v>
      </c>
      <c r="D75" s="2" t="s">
        <v>137</v>
      </c>
      <c r="E75" s="2" t="s">
        <v>138</v>
      </c>
      <c r="F75" s="2" t="s">
        <v>36</v>
      </c>
      <c r="G75" s="2" t="s">
        <v>37</v>
      </c>
      <c r="H75" s="19">
        <f>VLOOKUP(269,'H2H points'!$A:$XFD,17,FALSE)</f>
        <v>32</v>
      </c>
    </row>
    <row r="76" spans="1:8" ht="12.75">
      <c r="A76" s="2">
        <v>178</v>
      </c>
      <c r="B76" s="2">
        <v>60</v>
      </c>
      <c r="C76" s="2" t="s">
        <v>150</v>
      </c>
      <c r="D76" s="2" t="s">
        <v>151</v>
      </c>
      <c r="E76" s="2" t="s">
        <v>138</v>
      </c>
      <c r="F76" s="2" t="s">
        <v>103</v>
      </c>
      <c r="G76" s="2" t="s">
        <v>37</v>
      </c>
      <c r="H76" s="19">
        <f>VLOOKUP(178,'H2H points'!$A:$XFD,17,FALSE)</f>
        <v>32</v>
      </c>
    </row>
    <row r="77" spans="1:8" ht="12.75">
      <c r="A77" s="2">
        <v>199</v>
      </c>
      <c r="B77" s="2">
        <v>57</v>
      </c>
      <c r="C77" s="2" t="s">
        <v>143</v>
      </c>
      <c r="D77" s="2" t="s">
        <v>144</v>
      </c>
      <c r="E77" s="2" t="s">
        <v>138</v>
      </c>
      <c r="F77" s="2" t="s">
        <v>145</v>
      </c>
      <c r="G77" s="2" t="s">
        <v>37</v>
      </c>
      <c r="H77" s="19">
        <f>VLOOKUP(199,'H2H points'!$A:$XFD,17,FALSE)</f>
        <v>31</v>
      </c>
    </row>
    <row r="78" spans="1:8" ht="12.75">
      <c r="A78" s="2">
        <v>231</v>
      </c>
      <c r="B78" s="2">
        <v>59</v>
      </c>
      <c r="C78" s="2" t="s">
        <v>148</v>
      </c>
      <c r="D78" s="2" t="s">
        <v>149</v>
      </c>
      <c r="E78" s="2" t="s">
        <v>138</v>
      </c>
      <c r="F78" s="2" t="s">
        <v>36</v>
      </c>
      <c r="G78" s="2" t="s">
        <v>37</v>
      </c>
      <c r="H78" s="19">
        <f>VLOOKUP(231,'H2H points'!$A:$XFD,17,FALSE)</f>
        <v>28</v>
      </c>
    </row>
    <row r="79" spans="1:8" ht="12.75">
      <c r="A79" s="2">
        <v>212</v>
      </c>
      <c r="B79" s="2">
        <v>58</v>
      </c>
      <c r="C79" s="2" t="s">
        <v>146</v>
      </c>
      <c r="D79" s="2" t="s">
        <v>147</v>
      </c>
      <c r="E79" s="2" t="s">
        <v>138</v>
      </c>
      <c r="F79" s="2" t="s">
        <v>79</v>
      </c>
      <c r="G79" s="2" t="s">
        <v>37</v>
      </c>
      <c r="H79" s="19">
        <f>VLOOKUP(212,'H2H points'!$A:$XFD,17,FALSE)</f>
        <v>25</v>
      </c>
    </row>
    <row r="80" spans="1:8" ht="12.75">
      <c r="A80" s="3">
        <v>295</v>
      </c>
      <c r="B80" s="3">
        <v>71</v>
      </c>
      <c r="C80" s="3" t="s">
        <v>161</v>
      </c>
      <c r="D80" s="3" t="s">
        <v>162</v>
      </c>
      <c r="E80" s="3" t="s">
        <v>138</v>
      </c>
      <c r="F80" s="3" t="s">
        <v>36</v>
      </c>
      <c r="G80" s="3" t="s">
        <v>37</v>
      </c>
      <c r="H80" s="19">
        <f>VLOOKUP(295,'H2H points'!$A:$XFD,17,FALSE)</f>
        <v>24</v>
      </c>
    </row>
    <row r="81" spans="1:8" ht="12.75">
      <c r="A81" s="2">
        <v>294</v>
      </c>
      <c r="B81" s="2">
        <v>55</v>
      </c>
      <c r="C81" s="2" t="s">
        <v>139</v>
      </c>
      <c r="D81" s="2" t="s">
        <v>140</v>
      </c>
      <c r="E81" s="2" t="s">
        <v>138</v>
      </c>
      <c r="F81" s="2" t="s">
        <v>111</v>
      </c>
      <c r="G81" s="2" t="s">
        <v>37</v>
      </c>
      <c r="H81" s="19" t="s">
        <v>193</v>
      </c>
    </row>
    <row r="82" spans="1:8" ht="13.5" thickBot="1">
      <c r="A82" s="4"/>
      <c r="B82" s="4"/>
      <c r="C82" s="4"/>
      <c r="D82" s="4"/>
      <c r="E82" s="4"/>
      <c r="F82" s="4"/>
      <c r="G82" s="4"/>
      <c r="H82" s="24"/>
    </row>
    <row r="83" spans="1:7" ht="12.75">
      <c r="A83" s="1" t="s">
        <v>15</v>
      </c>
      <c r="C83" s="3"/>
      <c r="D83" s="3"/>
      <c r="E83" s="3"/>
      <c r="F83" s="3"/>
      <c r="G83" s="3"/>
    </row>
    <row r="84" spans="1:8" ht="12.75">
      <c r="A84" s="2">
        <v>197</v>
      </c>
      <c r="B84" s="2">
        <v>65</v>
      </c>
      <c r="C84" s="2" t="s">
        <v>157</v>
      </c>
      <c r="D84" s="2" t="s">
        <v>158</v>
      </c>
      <c r="E84" s="2" t="s">
        <v>138</v>
      </c>
      <c r="F84" s="2" t="s">
        <v>111</v>
      </c>
      <c r="G84" s="2" t="s">
        <v>58</v>
      </c>
      <c r="H84" s="19">
        <f>VLOOKUP(197,'H2H points'!$A:$XFD,17,FALSE)</f>
        <v>34</v>
      </c>
    </row>
    <row r="85" spans="1:8" ht="12.75">
      <c r="A85" s="2">
        <v>262</v>
      </c>
      <c r="B85" s="2">
        <v>63</v>
      </c>
      <c r="C85" s="2" t="s">
        <v>154</v>
      </c>
      <c r="D85" s="2" t="s">
        <v>155</v>
      </c>
      <c r="E85" s="2" t="s">
        <v>138</v>
      </c>
      <c r="F85" s="2" t="s">
        <v>36</v>
      </c>
      <c r="G85" s="2" t="s">
        <v>58</v>
      </c>
      <c r="H85" s="19">
        <f>VLOOKUP(262,'H2H points'!$A:$XFD,17,FALSE)</f>
        <v>32</v>
      </c>
    </row>
    <row r="86" spans="1:8" ht="12.75">
      <c r="A86" s="6">
        <v>257</v>
      </c>
      <c r="B86" s="6">
        <v>93</v>
      </c>
      <c r="C86" s="6" t="s">
        <v>191</v>
      </c>
      <c r="D86" s="6" t="s">
        <v>192</v>
      </c>
      <c r="E86" s="6" t="s">
        <v>138</v>
      </c>
      <c r="F86" s="6" t="s">
        <v>36</v>
      </c>
      <c r="G86" s="6" t="s">
        <v>58</v>
      </c>
      <c r="H86" s="19">
        <f>VLOOKUP(257,'H2H points'!$A:$XFD,17,FALSE)</f>
        <v>31</v>
      </c>
    </row>
    <row r="87" spans="1:8" ht="12.75">
      <c r="A87" s="2">
        <v>264</v>
      </c>
      <c r="B87" s="2">
        <v>66</v>
      </c>
      <c r="C87" s="2" t="s">
        <v>159</v>
      </c>
      <c r="D87" s="2" t="s">
        <v>131</v>
      </c>
      <c r="E87" s="2" t="s">
        <v>138</v>
      </c>
      <c r="F87" s="2" t="s">
        <v>111</v>
      </c>
      <c r="G87" s="2" t="s">
        <v>58</v>
      </c>
      <c r="H87" s="19">
        <f>VLOOKUP(264,'H2H points'!$A:$XFD,17,FALSE)</f>
        <v>26</v>
      </c>
    </row>
    <row r="88" spans="1:8" ht="12.75">
      <c r="A88" s="2">
        <v>209</v>
      </c>
      <c r="B88" s="2">
        <v>68</v>
      </c>
      <c r="C88" s="2" t="s">
        <v>129</v>
      </c>
      <c r="D88" s="2" t="s">
        <v>85</v>
      </c>
      <c r="E88" s="2" t="s">
        <v>138</v>
      </c>
      <c r="F88" s="2" t="s">
        <v>36</v>
      </c>
      <c r="G88" s="2" t="s">
        <v>58</v>
      </c>
      <c r="H88" s="19">
        <f>VLOOKUP(209,'H2H points'!$A:$XFD,17,FALSE)</f>
        <v>24</v>
      </c>
    </row>
    <row r="89" spans="1:8" ht="12.75">
      <c r="A89" s="2">
        <v>280</v>
      </c>
      <c r="B89" s="2">
        <v>62</v>
      </c>
      <c r="C89" s="2" t="s">
        <v>108</v>
      </c>
      <c r="D89" s="2" t="s">
        <v>120</v>
      </c>
      <c r="E89" s="2" t="s">
        <v>138</v>
      </c>
      <c r="F89" s="2" t="s">
        <v>111</v>
      </c>
      <c r="G89" s="2" t="s">
        <v>58</v>
      </c>
      <c r="H89" s="19">
        <f>VLOOKUP(280,'H2H points'!$A:$XFD,17,FALSE)</f>
        <v>22</v>
      </c>
    </row>
    <row r="90" spans="1:8" ht="12.75">
      <c r="A90" s="2">
        <v>260</v>
      </c>
      <c r="B90" s="2">
        <v>61</v>
      </c>
      <c r="C90" s="2" t="s">
        <v>152</v>
      </c>
      <c r="D90" s="2" t="s">
        <v>153</v>
      </c>
      <c r="E90" s="2" t="s">
        <v>138</v>
      </c>
      <c r="F90" s="2" t="s">
        <v>36</v>
      </c>
      <c r="G90" s="2" t="s">
        <v>58</v>
      </c>
      <c r="H90" s="19">
        <f>VLOOKUP(260,'H2H points'!$A:$XFD,17,FALSE)</f>
        <v>21</v>
      </c>
    </row>
    <row r="91" spans="1:8" ht="12.75">
      <c r="A91" s="2">
        <v>230</v>
      </c>
      <c r="B91" s="2">
        <v>67</v>
      </c>
      <c r="C91" s="2" t="s">
        <v>160</v>
      </c>
      <c r="D91" s="2" t="s">
        <v>88</v>
      </c>
      <c r="E91" s="2" t="s">
        <v>138</v>
      </c>
      <c r="F91" s="2"/>
      <c r="G91" s="2" t="s">
        <v>58</v>
      </c>
      <c r="H91" s="19">
        <f>VLOOKUP(230,'H2H points'!$A:$XFD,17,FALSE)</f>
        <v>19</v>
      </c>
    </row>
    <row r="92" spans="1:8" ht="12.75">
      <c r="A92" s="2">
        <v>184</v>
      </c>
      <c r="B92" s="2">
        <v>64</v>
      </c>
      <c r="C92" s="2" t="s">
        <v>125</v>
      </c>
      <c r="D92" s="2" t="s">
        <v>156</v>
      </c>
      <c r="E92" s="2" t="s">
        <v>138</v>
      </c>
      <c r="F92" s="2" t="s">
        <v>36</v>
      </c>
      <c r="G92" s="2" t="s">
        <v>58</v>
      </c>
      <c r="H92" s="19">
        <f>VLOOKUP(184,'H2H points'!$A:$XFD,17,FALSE)</f>
        <v>16</v>
      </c>
    </row>
    <row r="93" spans="1:8" ht="13.5" thickBot="1">
      <c r="A93" s="4"/>
      <c r="B93" s="4"/>
      <c r="C93" s="4"/>
      <c r="D93" s="4"/>
      <c r="E93" s="4"/>
      <c r="F93" s="4"/>
      <c r="G93" s="4"/>
      <c r="H93" s="24"/>
    </row>
    <row r="94" spans="1:7" ht="12.75">
      <c r="A94" s="10" t="s">
        <v>16</v>
      </c>
      <c r="B94" s="7"/>
      <c r="C94" s="7"/>
      <c r="D94" s="7"/>
      <c r="E94" s="7"/>
      <c r="F94" s="7"/>
      <c r="G94" s="7"/>
    </row>
    <row r="95" spans="1:11" ht="12.75">
      <c r="A95" s="7">
        <v>289</v>
      </c>
      <c r="B95" s="7">
        <v>70</v>
      </c>
      <c r="C95" s="7" t="s">
        <v>116</v>
      </c>
      <c r="D95" s="7" t="s">
        <v>164</v>
      </c>
      <c r="E95" s="7" t="s">
        <v>163</v>
      </c>
      <c r="F95" s="7" t="s">
        <v>36</v>
      </c>
      <c r="G95" s="7" t="s">
        <v>37</v>
      </c>
      <c r="H95" s="19">
        <f>VLOOKUP(289,'H2H points'!$A:$XFD,17,FALSE)</f>
        <v>29</v>
      </c>
      <c r="I95" s="15"/>
      <c r="J95" s="15"/>
      <c r="K95" s="8"/>
    </row>
    <row r="96" spans="1:8" ht="13.5" thickBot="1">
      <c r="A96" s="4"/>
      <c r="B96" s="4"/>
      <c r="C96" s="4"/>
      <c r="D96" s="4"/>
      <c r="E96" s="4"/>
      <c r="F96" s="4"/>
      <c r="G96" s="4"/>
      <c r="H96" s="24"/>
    </row>
    <row r="97" spans="1:7" ht="12.75">
      <c r="A97" s="10" t="s">
        <v>17</v>
      </c>
      <c r="B97" s="7"/>
      <c r="C97" s="7"/>
      <c r="D97" s="7"/>
      <c r="E97" s="7"/>
      <c r="F97" s="7"/>
      <c r="G97" s="7"/>
    </row>
    <row r="98" spans="1:8" ht="12.75">
      <c r="A98" s="2">
        <v>246</v>
      </c>
      <c r="B98" s="2">
        <v>71</v>
      </c>
      <c r="C98" s="2" t="s">
        <v>165</v>
      </c>
      <c r="D98" s="2" t="s">
        <v>166</v>
      </c>
      <c r="E98" s="2" t="s">
        <v>163</v>
      </c>
      <c r="F98" s="2" t="s">
        <v>97</v>
      </c>
      <c r="G98" s="2" t="s">
        <v>58</v>
      </c>
      <c r="H98" s="19">
        <f>VLOOKUP(246,'H2H points'!$A:$XFD,17,FALSE)</f>
        <v>35</v>
      </c>
    </row>
    <row r="99" spans="1:8" ht="12.75">
      <c r="A99" s="2">
        <v>282</v>
      </c>
      <c r="B99" s="2">
        <v>72</v>
      </c>
      <c r="C99" s="2" t="s">
        <v>167</v>
      </c>
      <c r="D99" s="2" t="s">
        <v>60</v>
      </c>
      <c r="E99" s="2" t="s">
        <v>163</v>
      </c>
      <c r="F99" s="2" t="s">
        <v>36</v>
      </c>
      <c r="G99" s="2" t="s">
        <v>58</v>
      </c>
      <c r="H99" s="19" t="s">
        <v>193</v>
      </c>
    </row>
    <row r="100" spans="1:8" ht="13.5" thickBot="1">
      <c r="A100" s="4"/>
      <c r="B100" s="4"/>
      <c r="C100" s="4"/>
      <c r="D100" s="4"/>
      <c r="E100" s="4"/>
      <c r="F100" s="4"/>
      <c r="G100" s="4"/>
      <c r="H100" s="24"/>
    </row>
    <row r="101" spans="1:7" ht="12.75">
      <c r="A101" s="9" t="s">
        <v>18</v>
      </c>
      <c r="C101" s="2"/>
      <c r="D101" s="2"/>
      <c r="E101" s="2"/>
      <c r="F101" s="2"/>
      <c r="G101" s="2"/>
    </row>
    <row r="102" spans="1:8" ht="12.75">
      <c r="A102" s="3">
        <v>189</v>
      </c>
      <c r="B102" s="3">
        <v>73</v>
      </c>
      <c r="C102" s="3" t="s">
        <v>141</v>
      </c>
      <c r="D102" s="3" t="s">
        <v>137</v>
      </c>
      <c r="E102" s="3" t="s">
        <v>168</v>
      </c>
      <c r="F102" s="3" t="s">
        <v>103</v>
      </c>
      <c r="G102" s="3" t="s">
        <v>37</v>
      </c>
      <c r="H102" s="19">
        <f>VLOOKUP(189,'H2H points'!$A:$XFD,17,FALSE)</f>
        <v>34</v>
      </c>
    </row>
    <row r="103" spans="1:8" ht="12.75">
      <c r="A103" s="2">
        <v>216</v>
      </c>
      <c r="B103" s="2">
        <v>74</v>
      </c>
      <c r="C103" s="2" t="s">
        <v>169</v>
      </c>
      <c r="D103" s="2" t="s">
        <v>170</v>
      </c>
      <c r="E103" s="2" t="s">
        <v>168</v>
      </c>
      <c r="F103" s="2" t="s">
        <v>111</v>
      </c>
      <c r="G103" s="2" t="s">
        <v>37</v>
      </c>
      <c r="H103" s="19">
        <f>VLOOKUP(216,'H2H points'!$A:$XFD,17,FALSE)</f>
        <v>10</v>
      </c>
    </row>
    <row r="104" spans="1:8" ht="13.5" thickBot="1">
      <c r="A104" s="5"/>
      <c r="B104" s="5"/>
      <c r="C104" s="5"/>
      <c r="D104" s="5"/>
      <c r="E104" s="5"/>
      <c r="F104" s="5"/>
      <c r="G104" s="5"/>
      <c r="H104" s="24"/>
    </row>
    <row r="105" spans="1:7" ht="12.75">
      <c r="A105" s="9" t="s">
        <v>19</v>
      </c>
      <c r="B105" s="6"/>
      <c r="C105" s="2"/>
      <c r="D105" s="2"/>
      <c r="E105" s="2"/>
      <c r="F105" s="2"/>
      <c r="G105" s="2"/>
    </row>
    <row r="106" spans="1:8" ht="12.75">
      <c r="A106" s="2">
        <v>170</v>
      </c>
      <c r="B106" s="2">
        <v>90</v>
      </c>
      <c r="C106" s="2" t="s">
        <v>129</v>
      </c>
      <c r="D106" s="2" t="s">
        <v>187</v>
      </c>
      <c r="E106" s="2" t="s">
        <v>168</v>
      </c>
      <c r="F106" s="2" t="s">
        <v>36</v>
      </c>
      <c r="G106" s="2" t="s">
        <v>58</v>
      </c>
      <c r="H106" s="19">
        <f>VLOOKUP(170,'H2H points'!$A:$XFD,17,FALSE)</f>
        <v>31</v>
      </c>
    </row>
    <row r="107" spans="1:8" ht="13.5" thickBot="1">
      <c r="A107" s="5">
        <v>292</v>
      </c>
      <c r="B107" s="5">
        <v>75</v>
      </c>
      <c r="C107" s="5" t="s">
        <v>38</v>
      </c>
      <c r="D107" s="5" t="s">
        <v>171</v>
      </c>
      <c r="E107" s="5" t="s">
        <v>168</v>
      </c>
      <c r="F107" s="5" t="s">
        <v>172</v>
      </c>
      <c r="G107" s="5" t="s">
        <v>58</v>
      </c>
      <c r="H107" s="24">
        <f>VLOOKUP(292,'H2H points'!$A:$XFD,17,FALSE)</f>
        <v>20</v>
      </c>
    </row>
    <row r="108" spans="1:7" ht="12.75">
      <c r="A108" s="1" t="s">
        <v>21</v>
      </c>
      <c r="C108" s="3"/>
      <c r="D108" s="3"/>
      <c r="E108" s="3"/>
      <c r="F108" s="3"/>
      <c r="G108" s="3"/>
    </row>
    <row r="109" spans="1:8" ht="12.75">
      <c r="A109" s="2">
        <v>201</v>
      </c>
      <c r="B109" s="2">
        <v>76</v>
      </c>
      <c r="C109" s="2" t="s">
        <v>143</v>
      </c>
      <c r="D109" s="2" t="s">
        <v>173</v>
      </c>
      <c r="E109" s="2" t="s">
        <v>174</v>
      </c>
      <c r="F109" s="2" t="s">
        <v>145</v>
      </c>
      <c r="G109" s="2" t="s">
        <v>58</v>
      </c>
      <c r="H109" s="19">
        <f>VLOOKUP(201,'H2H points'!$A:$XFD,17,FALSE)</f>
        <v>33</v>
      </c>
    </row>
    <row r="110" spans="1:8" ht="12.75">
      <c r="A110" s="2">
        <v>206</v>
      </c>
      <c r="B110" s="2">
        <v>85</v>
      </c>
      <c r="C110" s="2" t="s">
        <v>116</v>
      </c>
      <c r="D110" s="2" t="s">
        <v>181</v>
      </c>
      <c r="E110" s="2" t="s">
        <v>174</v>
      </c>
      <c r="F110" s="2" t="s">
        <v>79</v>
      </c>
      <c r="G110" s="2" t="s">
        <v>58</v>
      </c>
      <c r="H110" s="19">
        <f>VLOOKUP(206,'H2H points'!$A:$XFD,17,FALSE)</f>
        <v>33</v>
      </c>
    </row>
    <row r="111" spans="1:8" ht="12.75">
      <c r="A111" s="2">
        <v>185</v>
      </c>
      <c r="B111" s="2">
        <v>77</v>
      </c>
      <c r="C111" s="2" t="s">
        <v>125</v>
      </c>
      <c r="D111" s="2" t="s">
        <v>175</v>
      </c>
      <c r="E111" s="2" t="s">
        <v>174</v>
      </c>
      <c r="F111" s="2" t="s">
        <v>36</v>
      </c>
      <c r="G111" s="2" t="s">
        <v>58</v>
      </c>
      <c r="H111" s="19">
        <f>VLOOKUP(185,'H2H points'!$A:$XFD,17,FALSE)</f>
        <v>25</v>
      </c>
    </row>
    <row r="112" spans="1:8" ht="12.75">
      <c r="A112" s="2">
        <v>233</v>
      </c>
      <c r="B112" s="2">
        <v>84</v>
      </c>
      <c r="C112" s="2" t="s">
        <v>98</v>
      </c>
      <c r="D112" s="2" t="s">
        <v>180</v>
      </c>
      <c r="E112" s="2" t="s">
        <v>174</v>
      </c>
      <c r="F112" s="2" t="s">
        <v>99</v>
      </c>
      <c r="G112" s="2" t="s">
        <v>58</v>
      </c>
      <c r="H112" s="19">
        <f>VLOOKUP(233,'H2H points'!$A:$XFD,17,FALSE)</f>
        <v>25</v>
      </c>
    </row>
    <row r="113" spans="1:8" ht="12.75">
      <c r="A113" s="2">
        <v>258</v>
      </c>
      <c r="B113" s="2">
        <v>78</v>
      </c>
      <c r="C113" s="2" t="s">
        <v>69</v>
      </c>
      <c r="D113" s="2" t="s">
        <v>176</v>
      </c>
      <c r="E113" s="2" t="s">
        <v>174</v>
      </c>
      <c r="F113" s="2" t="s">
        <v>36</v>
      </c>
      <c r="G113" s="2" t="s">
        <v>58</v>
      </c>
      <c r="H113" s="19">
        <f>VLOOKUP(258,'H2H points'!$A:$XFD,17,FALSE)</f>
        <v>23</v>
      </c>
    </row>
    <row r="114" spans="1:8" ht="12.75">
      <c r="A114" s="2">
        <v>268</v>
      </c>
      <c r="B114" s="2">
        <v>79</v>
      </c>
      <c r="C114" s="2" t="s">
        <v>74</v>
      </c>
      <c r="D114" s="2" t="s">
        <v>177</v>
      </c>
      <c r="E114" s="2" t="s">
        <v>174</v>
      </c>
      <c r="F114" s="2" t="s">
        <v>40</v>
      </c>
      <c r="G114" s="2" t="s">
        <v>58</v>
      </c>
      <c r="H114" s="19">
        <f>VLOOKUP(268,'H2H points'!$A:$XFD,17,FALSE)</f>
        <v>20</v>
      </c>
    </row>
    <row r="115" spans="1:8" ht="12.75">
      <c r="A115" s="2">
        <v>211</v>
      </c>
      <c r="B115" s="2">
        <v>83</v>
      </c>
      <c r="C115" s="2" t="s">
        <v>129</v>
      </c>
      <c r="D115" s="2" t="s">
        <v>179</v>
      </c>
      <c r="E115" s="2" t="s">
        <v>174</v>
      </c>
      <c r="F115" s="2" t="s">
        <v>36</v>
      </c>
      <c r="G115" s="2" t="s">
        <v>58</v>
      </c>
      <c r="H115" s="19">
        <f>VLOOKUP(211,'H2H points'!$A:$XFD,17,FALSE)</f>
        <v>19</v>
      </c>
    </row>
    <row r="116" spans="1:8" ht="12.75">
      <c r="A116" s="2">
        <v>198</v>
      </c>
      <c r="B116" s="2">
        <v>80</v>
      </c>
      <c r="C116" s="2" t="s">
        <v>157</v>
      </c>
      <c r="D116" s="2" t="s">
        <v>178</v>
      </c>
      <c r="E116" s="2" t="s">
        <v>174</v>
      </c>
      <c r="F116" s="2" t="s">
        <v>111</v>
      </c>
      <c r="G116" s="2" t="s">
        <v>58</v>
      </c>
      <c r="H116" s="19">
        <f>VLOOKUP(198,'H2H points'!$A:$XFD,17,FALSE)</f>
        <v>18</v>
      </c>
    </row>
    <row r="117" spans="1:8" ht="12.75">
      <c r="A117" s="2">
        <v>194</v>
      </c>
      <c r="B117" s="2">
        <v>82</v>
      </c>
      <c r="C117" s="2" t="s">
        <v>51</v>
      </c>
      <c r="D117" s="2" t="s">
        <v>177</v>
      </c>
      <c r="E117" s="2" t="s">
        <v>174</v>
      </c>
      <c r="F117" s="2" t="s">
        <v>36</v>
      </c>
      <c r="G117" s="2" t="s">
        <v>58</v>
      </c>
      <c r="H117" s="19">
        <f>VLOOKUP(194,'H2H points'!$A:$XFD,17,FALSE)</f>
        <v>16</v>
      </c>
    </row>
    <row r="118" spans="1:8" ht="12.75">
      <c r="A118" s="2">
        <v>232</v>
      </c>
      <c r="B118" s="2">
        <v>81</v>
      </c>
      <c r="C118" s="2" t="s">
        <v>148</v>
      </c>
      <c r="D118" s="2" t="s">
        <v>179</v>
      </c>
      <c r="E118" s="2" t="s">
        <v>174</v>
      </c>
      <c r="F118" s="2" t="s">
        <v>36</v>
      </c>
      <c r="G118" s="2" t="s">
        <v>58</v>
      </c>
      <c r="H118" s="19" t="s">
        <v>193</v>
      </c>
    </row>
    <row r="119" spans="1:7" ht="12.75">
      <c r="A119" s="2"/>
      <c r="B119" s="2"/>
      <c r="C119" s="2"/>
      <c r="D119" s="2"/>
      <c r="E119" s="2"/>
      <c r="F119" s="2"/>
      <c r="G119" s="2"/>
    </row>
    <row r="120" spans="1:8" ht="13.5" thickBot="1">
      <c r="A120" s="5"/>
      <c r="B120" s="5"/>
      <c r="C120" s="5"/>
      <c r="D120" s="5"/>
      <c r="E120" s="5"/>
      <c r="F120" s="5"/>
      <c r="G120" s="5"/>
      <c r="H120" s="24"/>
    </row>
    <row r="121" spans="1:7" ht="12.75">
      <c r="A121" s="11" t="s">
        <v>23</v>
      </c>
      <c r="C121" s="6"/>
      <c r="D121" s="6"/>
      <c r="E121" s="6"/>
      <c r="F121" s="6"/>
      <c r="G121" s="6"/>
    </row>
    <row r="122" spans="1:8" ht="12.75">
      <c r="A122" s="2">
        <v>245</v>
      </c>
      <c r="B122" s="2">
        <v>86</v>
      </c>
      <c r="C122" s="2" t="s">
        <v>165</v>
      </c>
      <c r="D122" s="2" t="s">
        <v>182</v>
      </c>
      <c r="E122" s="2" t="s">
        <v>183</v>
      </c>
      <c r="F122" s="2" t="s">
        <v>97</v>
      </c>
      <c r="G122" s="2" t="s">
        <v>58</v>
      </c>
      <c r="H122" s="19">
        <f>VLOOKUP(245,'H2H points'!$A:$XFD,17,FALSE)</f>
        <v>29</v>
      </c>
    </row>
    <row r="123" spans="1:8" ht="13.5" thickBot="1">
      <c r="A123" s="5"/>
      <c r="B123" s="5"/>
      <c r="C123" s="5"/>
      <c r="D123" s="5"/>
      <c r="E123" s="5"/>
      <c r="F123" s="5"/>
      <c r="G123" s="5"/>
      <c r="H123" s="24"/>
    </row>
    <row r="125" ht="12.75">
      <c r="B125" s="6"/>
    </row>
    <row r="126" ht="12.75">
      <c r="B126" s="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&amp;CFrostbite 3 - Race 2 November H 2 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53"/>
  <sheetViews>
    <sheetView workbookViewId="0" topLeftCell="A1">
      <pane xSplit="1" ySplit="1" topLeftCell="E5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71" sqref="D71"/>
    </sheetView>
  </sheetViews>
  <sheetFormatPr defaultColWidth="9.140625" defaultRowHeight="12.75"/>
  <cols>
    <col min="1" max="1" width="8.421875" style="8" bestFit="1" customWidth="1"/>
    <col min="2" max="2" width="7.00390625" style="8" bestFit="1" customWidth="1"/>
    <col min="3" max="3" width="17.7109375" style="8" bestFit="1" customWidth="1"/>
    <col min="4" max="4" width="12.140625" style="8" bestFit="1" customWidth="1"/>
    <col min="5" max="5" width="8.00390625" style="8" customWidth="1"/>
    <col min="6" max="6" width="8.140625" style="8" bestFit="1" customWidth="1"/>
    <col min="7" max="7" width="4.57421875" style="8" bestFit="1" customWidth="1"/>
    <col min="8" max="12" width="9.140625" style="8" customWidth="1"/>
    <col min="13" max="13" width="9.140625" style="7" customWidth="1"/>
    <col min="14" max="15" width="9.140625" style="8" customWidth="1"/>
    <col min="16" max="16" width="11.140625" style="42" bestFit="1" customWidth="1"/>
    <col min="17" max="17" width="11.7109375" style="8" bestFit="1" customWidth="1"/>
    <col min="18" max="16384" width="9.140625" style="8" customWidth="1"/>
  </cols>
  <sheetData>
    <row r="1" spans="1:17" ht="15">
      <c r="A1" s="28" t="s">
        <v>0</v>
      </c>
      <c r="B1" s="10" t="s">
        <v>1</v>
      </c>
      <c r="C1" s="29" t="s">
        <v>2</v>
      </c>
      <c r="D1" s="10" t="s">
        <v>24</v>
      </c>
      <c r="E1" s="28" t="s">
        <v>3</v>
      </c>
      <c r="F1" s="10" t="s">
        <v>4</v>
      </c>
      <c r="G1" s="10" t="s">
        <v>5</v>
      </c>
      <c r="H1" s="30"/>
      <c r="I1" s="30"/>
      <c r="J1" s="30"/>
      <c r="K1" s="30"/>
      <c r="L1" s="30"/>
      <c r="M1" s="29"/>
      <c r="N1" s="10" t="s">
        <v>28</v>
      </c>
      <c r="O1" s="10" t="s">
        <v>29</v>
      </c>
      <c r="P1" s="44" t="s">
        <v>31</v>
      </c>
      <c r="Q1" s="45" t="s">
        <v>32</v>
      </c>
    </row>
    <row r="2" spans="1:17" ht="15.75">
      <c r="A2" s="26">
        <v>216</v>
      </c>
      <c r="B2" s="26">
        <v>74</v>
      </c>
      <c r="C2" s="26" t="s">
        <v>169</v>
      </c>
      <c r="D2" s="26" t="s">
        <v>170</v>
      </c>
      <c r="E2" s="26"/>
      <c r="F2" s="26"/>
      <c r="G2" s="26"/>
      <c r="H2" s="31" t="s">
        <v>194</v>
      </c>
      <c r="I2" s="25"/>
      <c r="J2" s="32" t="s">
        <v>194</v>
      </c>
      <c r="K2" s="25"/>
      <c r="L2" s="31" t="s">
        <v>194</v>
      </c>
      <c r="M2" s="33"/>
      <c r="N2" s="34">
        <f>SUM(H2:M2)</f>
        <v>0</v>
      </c>
      <c r="O2" s="48" t="s">
        <v>196</v>
      </c>
      <c r="P2" s="47">
        <v>10</v>
      </c>
      <c r="Q2" s="8">
        <f>SUM($P$2+N2)</f>
        <v>10</v>
      </c>
    </row>
    <row r="3" spans="1:17" ht="15">
      <c r="A3" s="26">
        <v>288</v>
      </c>
      <c r="B3" s="26">
        <v>10</v>
      </c>
      <c r="C3" s="26" t="s">
        <v>56</v>
      </c>
      <c r="D3" s="26" t="s">
        <v>57</v>
      </c>
      <c r="E3" s="26"/>
      <c r="F3" s="26"/>
      <c r="G3" s="26"/>
      <c r="H3" s="32" t="s">
        <v>194</v>
      </c>
      <c r="I3" s="25"/>
      <c r="J3" s="25"/>
      <c r="K3" s="35">
        <v>4</v>
      </c>
      <c r="L3" s="25"/>
      <c r="M3" s="31">
        <v>4</v>
      </c>
      <c r="N3" s="34">
        <f>SUM(H3:M3)</f>
        <v>8</v>
      </c>
      <c r="O3" s="48"/>
      <c r="P3" s="47"/>
      <c r="Q3" s="8">
        <f>SUM($P$2+N3)</f>
        <v>18</v>
      </c>
    </row>
    <row r="4" spans="1:17" ht="15">
      <c r="A4" s="27">
        <v>270</v>
      </c>
      <c r="B4" s="26">
        <v>46</v>
      </c>
      <c r="C4" s="26" t="s">
        <v>121</v>
      </c>
      <c r="D4" s="26" t="s">
        <v>122</v>
      </c>
      <c r="E4" s="27"/>
      <c r="F4" s="27"/>
      <c r="G4" s="27"/>
      <c r="H4" s="25"/>
      <c r="I4" s="31">
        <v>4</v>
      </c>
      <c r="J4" s="31">
        <v>4</v>
      </c>
      <c r="K4" s="25"/>
      <c r="L4" s="25"/>
      <c r="M4" s="32">
        <v>2</v>
      </c>
      <c r="N4" s="34">
        <f>SUM(H4:M4)</f>
        <v>10</v>
      </c>
      <c r="O4" s="48"/>
      <c r="P4" s="47"/>
      <c r="Q4" s="8">
        <f>SUM($P$2+N4)</f>
        <v>20</v>
      </c>
    </row>
    <row r="5" spans="1:17" ht="15.75">
      <c r="A5" s="27"/>
      <c r="B5" s="27"/>
      <c r="C5" s="27"/>
      <c r="D5" s="27"/>
      <c r="E5" s="27"/>
      <c r="F5" s="27"/>
      <c r="G5" s="27"/>
      <c r="H5" s="25"/>
      <c r="I5" s="35"/>
      <c r="J5" s="25"/>
      <c r="K5" s="31"/>
      <c r="L5" s="35"/>
      <c r="M5" s="33"/>
      <c r="N5" s="34">
        <f>SUM(H5:M5)</f>
        <v>0</v>
      </c>
      <c r="O5" s="48"/>
      <c r="P5" s="47"/>
      <c r="Q5" s="8">
        <f>SUM($P$2+N5)</f>
        <v>10</v>
      </c>
    </row>
    <row r="7" spans="1:17" ht="15.75">
      <c r="A7" s="27">
        <v>254</v>
      </c>
      <c r="B7" s="27">
        <v>3</v>
      </c>
      <c r="C7" s="27" t="s">
        <v>41</v>
      </c>
      <c r="D7" s="27" t="s">
        <v>42</v>
      </c>
      <c r="E7" s="27"/>
      <c r="F7" s="27"/>
      <c r="G7" s="27"/>
      <c r="H7" s="31">
        <v>2</v>
      </c>
      <c r="I7" s="25"/>
      <c r="J7" s="32">
        <v>2</v>
      </c>
      <c r="K7" s="25"/>
      <c r="L7" s="31">
        <v>2</v>
      </c>
      <c r="M7" s="33"/>
      <c r="N7" s="34">
        <f>SUM(H7:M7)</f>
        <v>6</v>
      </c>
      <c r="O7" s="48" t="s">
        <v>197</v>
      </c>
      <c r="P7" s="47">
        <v>10</v>
      </c>
      <c r="Q7" s="16">
        <f>SUM($P$7+N7)</f>
        <v>16</v>
      </c>
    </row>
    <row r="8" spans="1:17" ht="15">
      <c r="A8" s="27">
        <v>274</v>
      </c>
      <c r="B8" s="26">
        <v>39</v>
      </c>
      <c r="C8" s="26" t="s">
        <v>61</v>
      </c>
      <c r="D8" s="26" t="s">
        <v>106</v>
      </c>
      <c r="E8" s="27"/>
      <c r="F8" s="27"/>
      <c r="G8" s="27"/>
      <c r="H8" s="32">
        <v>4</v>
      </c>
      <c r="I8" s="25"/>
      <c r="J8" s="25"/>
      <c r="K8" s="35">
        <v>2</v>
      </c>
      <c r="L8" s="25"/>
      <c r="M8" s="31" t="s">
        <v>193</v>
      </c>
      <c r="N8" s="34">
        <f>SUM(H8:M8)</f>
        <v>6</v>
      </c>
      <c r="O8" s="48"/>
      <c r="P8" s="47"/>
      <c r="Q8" s="16">
        <f>SUM($P$7+N8)</f>
        <v>16</v>
      </c>
    </row>
    <row r="9" spans="1:17" ht="15">
      <c r="A9" s="26">
        <v>195</v>
      </c>
      <c r="B9" s="27">
        <v>4</v>
      </c>
      <c r="C9" s="27" t="s">
        <v>43</v>
      </c>
      <c r="D9" s="27" t="s">
        <v>44</v>
      </c>
      <c r="E9" s="26"/>
      <c r="F9" s="26"/>
      <c r="G9" s="26"/>
      <c r="H9" s="25"/>
      <c r="I9" s="31">
        <v>2</v>
      </c>
      <c r="J9" s="31">
        <v>4</v>
      </c>
      <c r="K9" s="25"/>
      <c r="L9" s="25"/>
      <c r="M9" s="32">
        <v>4</v>
      </c>
      <c r="N9" s="34">
        <f>SUM(H9:M9)</f>
        <v>10</v>
      </c>
      <c r="O9" s="48"/>
      <c r="P9" s="47"/>
      <c r="Q9" s="16">
        <f>SUM($P$7+N9)</f>
        <v>20</v>
      </c>
    </row>
    <row r="10" spans="1:17" ht="15.75">
      <c r="A10" s="26">
        <v>293</v>
      </c>
      <c r="B10" s="26">
        <v>30</v>
      </c>
      <c r="C10" s="26" t="s">
        <v>66</v>
      </c>
      <c r="D10" s="26" t="s">
        <v>91</v>
      </c>
      <c r="E10" s="26"/>
      <c r="F10" s="26"/>
      <c r="G10" s="26"/>
      <c r="H10" s="25"/>
      <c r="I10" s="35">
        <v>4</v>
      </c>
      <c r="J10" s="25"/>
      <c r="K10" s="31">
        <v>4</v>
      </c>
      <c r="L10" s="35">
        <v>4</v>
      </c>
      <c r="M10" s="33"/>
      <c r="N10" s="34">
        <f>SUM(H10:M10)</f>
        <v>12</v>
      </c>
      <c r="O10" s="48"/>
      <c r="P10" s="47"/>
      <c r="Q10" s="16">
        <f>SUM($P$7+N10)</f>
        <v>22</v>
      </c>
    </row>
    <row r="12" spans="1:17" ht="15.75">
      <c r="A12" s="26">
        <v>253</v>
      </c>
      <c r="B12" s="26">
        <v>23</v>
      </c>
      <c r="C12" s="26" t="s">
        <v>41</v>
      </c>
      <c r="D12" s="26" t="s">
        <v>60</v>
      </c>
      <c r="E12" s="26"/>
      <c r="F12" s="26"/>
      <c r="G12" s="26"/>
      <c r="H12" s="31">
        <v>4</v>
      </c>
      <c r="I12" s="25"/>
      <c r="J12" s="32">
        <v>4</v>
      </c>
      <c r="K12" s="25"/>
      <c r="L12" s="31">
        <v>4</v>
      </c>
      <c r="M12" s="33"/>
      <c r="N12" s="34">
        <f>SUM(H12:M12)</f>
        <v>12</v>
      </c>
      <c r="O12" s="48" t="s">
        <v>198</v>
      </c>
      <c r="P12" s="47">
        <v>10</v>
      </c>
      <c r="Q12" s="16">
        <f>SUM($P$12+N12)</f>
        <v>22</v>
      </c>
    </row>
    <row r="13" spans="1:17" ht="15">
      <c r="A13" s="27">
        <v>290</v>
      </c>
      <c r="B13" s="26">
        <v>2</v>
      </c>
      <c r="C13" s="26" t="s">
        <v>38</v>
      </c>
      <c r="D13" s="26" t="s">
        <v>39</v>
      </c>
      <c r="E13" s="27"/>
      <c r="F13" s="27"/>
      <c r="G13" s="27"/>
      <c r="H13" s="32">
        <v>2</v>
      </c>
      <c r="I13" s="25"/>
      <c r="J13" s="25"/>
      <c r="K13" s="35">
        <v>2</v>
      </c>
      <c r="L13" s="25"/>
      <c r="M13" s="31">
        <v>2</v>
      </c>
      <c r="N13" s="34">
        <f>SUM(H13:M13)</f>
        <v>6</v>
      </c>
      <c r="O13" s="48"/>
      <c r="P13" s="47"/>
      <c r="Q13" s="16">
        <f>SUM($P$12+N13)</f>
        <v>16</v>
      </c>
    </row>
    <row r="14" spans="1:17" ht="15">
      <c r="A14" s="27">
        <v>220</v>
      </c>
      <c r="B14" s="27">
        <v>7</v>
      </c>
      <c r="C14" s="27" t="s">
        <v>49</v>
      </c>
      <c r="D14" s="27" t="s">
        <v>50</v>
      </c>
      <c r="E14" s="27"/>
      <c r="F14" s="27"/>
      <c r="G14" s="27"/>
      <c r="H14" s="25"/>
      <c r="I14" s="31">
        <v>2</v>
      </c>
      <c r="J14" s="31">
        <v>2</v>
      </c>
      <c r="K14" s="25"/>
      <c r="L14" s="25"/>
      <c r="M14" s="32">
        <v>4</v>
      </c>
      <c r="N14" s="34">
        <f>SUM(H14:M14)</f>
        <v>8</v>
      </c>
      <c r="O14" s="48"/>
      <c r="P14" s="47"/>
      <c r="Q14" s="16">
        <f>SUM($P$12+N14)</f>
        <v>18</v>
      </c>
    </row>
    <row r="15" spans="1:17" ht="15.75">
      <c r="A15" s="26">
        <v>240</v>
      </c>
      <c r="B15" s="26">
        <v>15</v>
      </c>
      <c r="C15" s="26" t="s">
        <v>66</v>
      </c>
      <c r="D15" s="26" t="s">
        <v>57</v>
      </c>
      <c r="E15" s="26"/>
      <c r="F15" s="26"/>
      <c r="G15" s="26"/>
      <c r="H15" s="25"/>
      <c r="I15" s="35">
        <v>4</v>
      </c>
      <c r="J15" s="25"/>
      <c r="K15" s="31">
        <v>4</v>
      </c>
      <c r="L15" s="35">
        <v>2</v>
      </c>
      <c r="M15" s="33"/>
      <c r="N15" s="34">
        <f>SUM(H15:M15)</f>
        <v>10</v>
      </c>
      <c r="O15" s="48"/>
      <c r="P15" s="47"/>
      <c r="Q15" s="16">
        <f>SUM($P$12+N15)</f>
        <v>20</v>
      </c>
    </row>
    <row r="17" spans="1:17" ht="15.75">
      <c r="A17" s="27">
        <v>192</v>
      </c>
      <c r="B17" s="27">
        <v>8</v>
      </c>
      <c r="C17" s="27" t="s">
        <v>51</v>
      </c>
      <c r="D17" s="27" t="s">
        <v>52</v>
      </c>
      <c r="E17" s="27"/>
      <c r="F17" s="27"/>
      <c r="G17" s="27"/>
      <c r="H17" s="31">
        <v>4</v>
      </c>
      <c r="I17" s="25"/>
      <c r="J17" s="32">
        <v>2</v>
      </c>
      <c r="K17" s="25"/>
      <c r="L17" s="31">
        <v>2</v>
      </c>
      <c r="M17" s="33"/>
      <c r="N17" s="34">
        <f>SUM(H17:M17)</f>
        <v>8</v>
      </c>
      <c r="O17" s="48" t="s">
        <v>199</v>
      </c>
      <c r="P17" s="47">
        <v>10</v>
      </c>
      <c r="Q17" s="16">
        <f>SUM($P$17+N17)</f>
        <v>18</v>
      </c>
    </row>
    <row r="18" spans="1:17" ht="15">
      <c r="A18" s="27">
        <v>194</v>
      </c>
      <c r="B18" s="26">
        <v>82</v>
      </c>
      <c r="C18" s="26" t="s">
        <v>51</v>
      </c>
      <c r="D18" s="26" t="s">
        <v>177</v>
      </c>
      <c r="E18" s="27"/>
      <c r="F18" s="27"/>
      <c r="G18" s="27"/>
      <c r="H18" s="32">
        <v>2</v>
      </c>
      <c r="I18" s="25"/>
      <c r="J18" s="25"/>
      <c r="K18" s="35">
        <v>2</v>
      </c>
      <c r="L18" s="25"/>
      <c r="M18" s="31">
        <v>2</v>
      </c>
      <c r="N18" s="34">
        <f>SUM(H18:M18)</f>
        <v>6</v>
      </c>
      <c r="O18" s="48"/>
      <c r="P18" s="47"/>
      <c r="Q18" s="16">
        <f>SUM($P$17+N18)</f>
        <v>16</v>
      </c>
    </row>
    <row r="19" spans="1:17" ht="15">
      <c r="A19" s="26">
        <v>227</v>
      </c>
      <c r="B19" s="27">
        <v>5</v>
      </c>
      <c r="C19" s="27" t="s">
        <v>45</v>
      </c>
      <c r="D19" s="27" t="s">
        <v>46</v>
      </c>
      <c r="E19" s="26"/>
      <c r="F19" s="26"/>
      <c r="G19" s="26"/>
      <c r="H19" s="25"/>
      <c r="I19" s="31">
        <v>2</v>
      </c>
      <c r="J19" s="31">
        <v>4</v>
      </c>
      <c r="K19" s="25"/>
      <c r="L19" s="25"/>
      <c r="M19" s="32">
        <v>4</v>
      </c>
      <c r="N19" s="34">
        <f>SUM(H19:M19)</f>
        <v>10</v>
      </c>
      <c r="O19" s="48"/>
      <c r="P19" s="47"/>
      <c r="Q19" s="16">
        <f>SUM($P$17+N19)</f>
        <v>20</v>
      </c>
    </row>
    <row r="20" spans="1:17" ht="15.75">
      <c r="A20" s="27">
        <v>234</v>
      </c>
      <c r="B20" s="26">
        <v>34</v>
      </c>
      <c r="C20" s="26" t="s">
        <v>98</v>
      </c>
      <c r="D20" s="26" t="s">
        <v>42</v>
      </c>
      <c r="E20" s="27"/>
      <c r="F20" s="27"/>
      <c r="G20" s="27"/>
      <c r="H20" s="25"/>
      <c r="I20" s="35">
        <v>4</v>
      </c>
      <c r="J20" s="25"/>
      <c r="K20" s="31">
        <v>4</v>
      </c>
      <c r="L20" s="35">
        <v>4</v>
      </c>
      <c r="M20" s="33"/>
      <c r="N20" s="34">
        <f>SUM(H20:M20)</f>
        <v>12</v>
      </c>
      <c r="O20" s="48"/>
      <c r="P20" s="47"/>
      <c r="Q20" s="16">
        <f>SUM($P$17+N20)</f>
        <v>22</v>
      </c>
    </row>
    <row r="22" spans="1:17" ht="15.75">
      <c r="A22" s="27">
        <v>249</v>
      </c>
      <c r="B22" s="27">
        <v>6</v>
      </c>
      <c r="C22" s="27" t="s">
        <v>47</v>
      </c>
      <c r="D22" s="27" t="s">
        <v>48</v>
      </c>
      <c r="E22" s="27"/>
      <c r="F22" s="27"/>
      <c r="G22" s="27"/>
      <c r="H22" s="31">
        <v>2</v>
      </c>
      <c r="I22" s="25"/>
      <c r="J22" s="32">
        <v>2</v>
      </c>
      <c r="K22" s="25"/>
      <c r="L22" s="31">
        <v>2</v>
      </c>
      <c r="M22" s="33"/>
      <c r="N22" s="34">
        <f>SUM(H22:M22)</f>
        <v>6</v>
      </c>
      <c r="O22" s="48" t="s">
        <v>200</v>
      </c>
      <c r="P22" s="47">
        <v>10</v>
      </c>
      <c r="Q22" s="16">
        <f>SUM($P$22+N22)</f>
        <v>16</v>
      </c>
    </row>
    <row r="23" spans="1:17" ht="15">
      <c r="A23" s="27">
        <v>193</v>
      </c>
      <c r="B23" s="26">
        <v>31</v>
      </c>
      <c r="C23" s="26" t="s">
        <v>51</v>
      </c>
      <c r="D23" s="26" t="s">
        <v>92</v>
      </c>
      <c r="E23" s="27"/>
      <c r="F23" s="27"/>
      <c r="G23" s="27"/>
      <c r="H23" s="32">
        <v>4</v>
      </c>
      <c r="I23" s="25"/>
      <c r="J23" s="25"/>
      <c r="K23" s="35">
        <v>2</v>
      </c>
      <c r="L23" s="25"/>
      <c r="M23" s="31">
        <v>4</v>
      </c>
      <c r="N23" s="34">
        <f>SUM(H23:M23)</f>
        <v>10</v>
      </c>
      <c r="O23" s="48"/>
      <c r="P23" s="47"/>
      <c r="Q23" s="16">
        <f>SUM($P$22+N23)</f>
        <v>20</v>
      </c>
    </row>
    <row r="24" spans="1:17" ht="15">
      <c r="A24" s="26">
        <v>268</v>
      </c>
      <c r="B24" s="26">
        <v>79</v>
      </c>
      <c r="C24" s="26" t="s">
        <v>74</v>
      </c>
      <c r="D24" s="26" t="s">
        <v>177</v>
      </c>
      <c r="E24" s="26"/>
      <c r="F24" s="26"/>
      <c r="G24" s="26"/>
      <c r="H24" s="25"/>
      <c r="I24" s="31">
        <v>4</v>
      </c>
      <c r="J24" s="31">
        <v>4</v>
      </c>
      <c r="K24" s="25"/>
      <c r="L24" s="25"/>
      <c r="M24" s="32">
        <v>2</v>
      </c>
      <c r="N24" s="34">
        <f>SUM(H24:M24)</f>
        <v>10</v>
      </c>
      <c r="O24" s="48"/>
      <c r="P24" s="47"/>
      <c r="Q24" s="16">
        <f>SUM($P$22+N24)</f>
        <v>20</v>
      </c>
    </row>
    <row r="25" spans="1:17" ht="15.75">
      <c r="A25" s="26">
        <v>235</v>
      </c>
      <c r="B25" s="26">
        <v>11</v>
      </c>
      <c r="C25" s="26" t="s">
        <v>59</v>
      </c>
      <c r="D25" s="26" t="s">
        <v>60</v>
      </c>
      <c r="E25" s="26"/>
      <c r="F25" s="26"/>
      <c r="G25" s="26"/>
      <c r="H25" s="25"/>
      <c r="I25" s="35">
        <v>2</v>
      </c>
      <c r="J25" s="25"/>
      <c r="K25" s="31">
        <v>4</v>
      </c>
      <c r="L25" s="35">
        <v>4</v>
      </c>
      <c r="M25" s="33"/>
      <c r="N25" s="34">
        <f>SUM(H25:M25)</f>
        <v>10</v>
      </c>
      <c r="O25" s="48"/>
      <c r="P25" s="47"/>
      <c r="Q25" s="16">
        <f>SUM($P$22+N25)</f>
        <v>20</v>
      </c>
    </row>
    <row r="27" spans="1:17" ht="15.75">
      <c r="A27" s="26">
        <v>207</v>
      </c>
      <c r="B27" s="26">
        <v>1</v>
      </c>
      <c r="C27" s="26" t="s">
        <v>33</v>
      </c>
      <c r="D27" s="26" t="s">
        <v>34</v>
      </c>
      <c r="E27" s="26"/>
      <c r="F27" s="26"/>
      <c r="G27" s="26"/>
      <c r="H27" s="31">
        <v>4</v>
      </c>
      <c r="I27" s="25"/>
      <c r="J27" s="32">
        <v>4</v>
      </c>
      <c r="K27" s="25"/>
      <c r="L27" s="31">
        <v>2</v>
      </c>
      <c r="M27" s="33"/>
      <c r="N27" s="34">
        <f>SUM(H27:M27)</f>
        <v>10</v>
      </c>
      <c r="O27" s="48" t="s">
        <v>201</v>
      </c>
      <c r="P27" s="47">
        <v>10</v>
      </c>
      <c r="Q27" s="16">
        <f>SUM($P$27+N27)</f>
        <v>20</v>
      </c>
    </row>
    <row r="28" spans="1:17" ht="15">
      <c r="A28" s="27">
        <v>226</v>
      </c>
      <c r="B28" s="26">
        <v>13</v>
      </c>
      <c r="C28" s="26" t="s">
        <v>61</v>
      </c>
      <c r="D28" s="26" t="s">
        <v>63</v>
      </c>
      <c r="E28" s="27"/>
      <c r="F28" s="27"/>
      <c r="G28" s="27"/>
      <c r="H28" s="32">
        <v>2</v>
      </c>
      <c r="I28" s="25"/>
      <c r="J28" s="25"/>
      <c r="K28" s="35">
        <v>4</v>
      </c>
      <c r="L28" s="25"/>
      <c r="M28" s="31">
        <v>4</v>
      </c>
      <c r="N28" s="34">
        <f>SUM(H28:M28)</f>
        <v>10</v>
      </c>
      <c r="O28" s="48"/>
      <c r="P28" s="47"/>
      <c r="Q28" s="16">
        <f>SUM($P$27+N28)</f>
        <v>20</v>
      </c>
    </row>
    <row r="29" spans="1:17" ht="15">
      <c r="A29" s="27">
        <v>184</v>
      </c>
      <c r="B29" s="26">
        <v>64</v>
      </c>
      <c r="C29" s="26" t="s">
        <v>125</v>
      </c>
      <c r="D29" s="26" t="s">
        <v>156</v>
      </c>
      <c r="E29" s="27"/>
      <c r="F29" s="27"/>
      <c r="G29" s="27"/>
      <c r="H29" s="25"/>
      <c r="I29" s="31">
        <v>4</v>
      </c>
      <c r="J29" s="31" t="s">
        <v>194</v>
      </c>
      <c r="K29" s="25"/>
      <c r="L29" s="25"/>
      <c r="M29" s="32">
        <v>2</v>
      </c>
      <c r="N29" s="34">
        <f>SUM(H29:M29)</f>
        <v>6</v>
      </c>
      <c r="O29" s="48"/>
      <c r="P29" s="47"/>
      <c r="Q29" s="16">
        <f>SUM($P$27+N29)</f>
        <v>16</v>
      </c>
    </row>
    <row r="30" spans="1:17" ht="15.75">
      <c r="A30" s="26">
        <v>281</v>
      </c>
      <c r="B30" s="26">
        <v>40</v>
      </c>
      <c r="C30" s="26" t="s">
        <v>108</v>
      </c>
      <c r="D30" s="26" t="s">
        <v>109</v>
      </c>
      <c r="E30" s="26"/>
      <c r="F30" s="26"/>
      <c r="G30" s="26"/>
      <c r="H30" s="25"/>
      <c r="I30" s="35">
        <v>2</v>
      </c>
      <c r="J30" s="25"/>
      <c r="K30" s="31">
        <v>2</v>
      </c>
      <c r="L30" s="35">
        <v>4</v>
      </c>
      <c r="M30" s="33"/>
      <c r="N30" s="34">
        <f>SUM(H30:M30)</f>
        <v>8</v>
      </c>
      <c r="O30" s="48"/>
      <c r="P30" s="47"/>
      <c r="Q30" s="16">
        <f>SUM($P$27+N30)</f>
        <v>18</v>
      </c>
    </row>
    <row r="32" spans="1:17" ht="15.75">
      <c r="A32" s="26">
        <v>259</v>
      </c>
      <c r="B32" s="26">
        <v>17</v>
      </c>
      <c r="C32" s="26" t="s">
        <v>69</v>
      </c>
      <c r="D32" s="26" t="s">
        <v>70</v>
      </c>
      <c r="E32" s="26"/>
      <c r="F32" s="26"/>
      <c r="G32" s="26"/>
      <c r="H32" s="31">
        <v>4</v>
      </c>
      <c r="I32" s="25"/>
      <c r="J32" s="32">
        <v>4</v>
      </c>
      <c r="K32" s="25"/>
      <c r="L32" s="31">
        <v>4</v>
      </c>
      <c r="M32" s="33"/>
      <c r="N32" s="34">
        <f>SUM(H32:M32)</f>
        <v>12</v>
      </c>
      <c r="O32" s="48" t="s">
        <v>202</v>
      </c>
      <c r="P32" s="47">
        <v>10</v>
      </c>
      <c r="Q32" s="16">
        <f>SUM($P$32+N32)</f>
        <v>22</v>
      </c>
    </row>
    <row r="33" spans="1:17" ht="15">
      <c r="A33" s="26">
        <v>198</v>
      </c>
      <c r="B33" s="26">
        <v>80</v>
      </c>
      <c r="C33" s="26" t="s">
        <v>157</v>
      </c>
      <c r="D33" s="26" t="s">
        <v>178</v>
      </c>
      <c r="E33" s="26"/>
      <c r="F33" s="26"/>
      <c r="G33" s="26"/>
      <c r="H33" s="32">
        <v>2</v>
      </c>
      <c r="I33" s="25"/>
      <c r="J33" s="25"/>
      <c r="K33" s="35">
        <v>2</v>
      </c>
      <c r="L33" s="25"/>
      <c r="M33" s="31">
        <v>4</v>
      </c>
      <c r="N33" s="34">
        <f>SUM(H33:M33)</f>
        <v>8</v>
      </c>
      <c r="O33" s="48"/>
      <c r="P33" s="47"/>
      <c r="Q33" s="16">
        <f>SUM($P$32+N33)</f>
        <v>18</v>
      </c>
    </row>
    <row r="34" spans="1:17" ht="15">
      <c r="A34" s="27">
        <v>250</v>
      </c>
      <c r="B34" s="27">
        <v>9</v>
      </c>
      <c r="C34" s="27" t="s">
        <v>53</v>
      </c>
      <c r="D34" s="27" t="s">
        <v>54</v>
      </c>
      <c r="E34" s="27"/>
      <c r="F34" s="27"/>
      <c r="G34" s="27"/>
      <c r="H34" s="25"/>
      <c r="I34" s="31">
        <v>2</v>
      </c>
      <c r="J34" s="31">
        <v>2</v>
      </c>
      <c r="K34" s="25"/>
      <c r="L34" s="25"/>
      <c r="M34" s="32">
        <v>2</v>
      </c>
      <c r="N34" s="34">
        <f>SUM(H34:M34)</f>
        <v>6</v>
      </c>
      <c r="O34" s="48"/>
      <c r="P34" s="47"/>
      <c r="Q34" s="16">
        <f>SUM($P$32+N34)</f>
        <v>16</v>
      </c>
    </row>
    <row r="35" spans="1:17" ht="15.75">
      <c r="A35" s="27">
        <v>297</v>
      </c>
      <c r="B35" s="26">
        <v>21</v>
      </c>
      <c r="C35" s="26" t="s">
        <v>64</v>
      </c>
      <c r="D35" s="26" t="s">
        <v>76</v>
      </c>
      <c r="E35" s="27"/>
      <c r="F35" s="27"/>
      <c r="G35" s="27"/>
      <c r="H35" s="25"/>
      <c r="I35" s="35">
        <v>4</v>
      </c>
      <c r="J35" s="25"/>
      <c r="K35" s="31">
        <v>4</v>
      </c>
      <c r="L35" s="35">
        <v>2</v>
      </c>
      <c r="M35" s="33"/>
      <c r="N35" s="34">
        <f>SUM(H35:M35)</f>
        <v>10</v>
      </c>
      <c r="O35" s="48"/>
      <c r="P35" s="47"/>
      <c r="Q35" s="16">
        <f>SUM($P$32+N35)</f>
        <v>20</v>
      </c>
    </row>
    <row r="37" spans="1:17" ht="15.75">
      <c r="A37" s="26">
        <v>251</v>
      </c>
      <c r="B37" s="26">
        <v>14</v>
      </c>
      <c r="C37" s="26" t="s">
        <v>64</v>
      </c>
      <c r="D37" s="26" t="s">
        <v>65</v>
      </c>
      <c r="E37" s="26"/>
      <c r="F37" s="26"/>
      <c r="G37" s="26"/>
      <c r="H37" s="31">
        <v>4</v>
      </c>
      <c r="I37" s="25"/>
      <c r="J37" s="32">
        <v>2</v>
      </c>
      <c r="K37" s="25"/>
      <c r="L37" s="31">
        <v>4</v>
      </c>
      <c r="M37" s="33"/>
      <c r="N37" s="34">
        <f>SUM(H37:M37)</f>
        <v>10</v>
      </c>
      <c r="O37" s="48" t="s">
        <v>203</v>
      </c>
      <c r="P37" s="47">
        <v>11</v>
      </c>
      <c r="Q37" s="16">
        <f>SUM($P$37+N37)</f>
        <v>21</v>
      </c>
    </row>
    <row r="38" spans="1:17" ht="15">
      <c r="A38" s="27">
        <v>211</v>
      </c>
      <c r="B38" s="26">
        <v>83</v>
      </c>
      <c r="C38" s="26" t="s">
        <v>129</v>
      </c>
      <c r="D38" s="26" t="s">
        <v>179</v>
      </c>
      <c r="E38" s="27"/>
      <c r="F38" s="27"/>
      <c r="G38" s="27"/>
      <c r="H38" s="32">
        <v>2</v>
      </c>
      <c r="I38" s="25"/>
      <c r="J38" s="25"/>
      <c r="K38" s="35">
        <v>2</v>
      </c>
      <c r="L38" s="25"/>
      <c r="M38" s="31">
        <v>4</v>
      </c>
      <c r="N38" s="34">
        <f>SUM(H38:M38)</f>
        <v>8</v>
      </c>
      <c r="O38" s="48"/>
      <c r="P38" s="47"/>
      <c r="Q38" s="16">
        <f>SUM($P$37+N38)</f>
        <v>19</v>
      </c>
    </row>
    <row r="39" spans="1:17" ht="15">
      <c r="A39" s="26">
        <v>214</v>
      </c>
      <c r="B39" s="26">
        <v>16</v>
      </c>
      <c r="C39" s="26" t="s">
        <v>67</v>
      </c>
      <c r="D39" s="26" t="s">
        <v>68</v>
      </c>
      <c r="E39" s="26"/>
      <c r="F39" s="26"/>
      <c r="G39" s="26"/>
      <c r="H39" s="25"/>
      <c r="I39" s="31">
        <v>4</v>
      </c>
      <c r="J39" s="31">
        <v>4</v>
      </c>
      <c r="K39" s="25"/>
      <c r="L39" s="25"/>
      <c r="M39" s="32">
        <v>2</v>
      </c>
      <c r="N39" s="34">
        <f>SUM(H39:M39)</f>
        <v>10</v>
      </c>
      <c r="O39" s="48"/>
      <c r="P39" s="47"/>
      <c r="Q39" s="16">
        <f>SUM($P$37+N39)</f>
        <v>21</v>
      </c>
    </row>
    <row r="40" spans="1:17" ht="15.75">
      <c r="A40" s="26">
        <v>181</v>
      </c>
      <c r="B40" s="26">
        <v>42</v>
      </c>
      <c r="C40" s="26" t="s">
        <v>114</v>
      </c>
      <c r="D40" s="26" t="s">
        <v>115</v>
      </c>
      <c r="E40" s="26"/>
      <c r="F40" s="26"/>
      <c r="G40" s="26"/>
      <c r="H40" s="25"/>
      <c r="I40" s="35">
        <v>2</v>
      </c>
      <c r="J40" s="25"/>
      <c r="K40" s="31">
        <v>4</v>
      </c>
      <c r="L40" s="35">
        <v>2</v>
      </c>
      <c r="M40" s="33"/>
      <c r="N40" s="34">
        <f>SUM(H40:M40)</f>
        <v>8</v>
      </c>
      <c r="O40" s="48"/>
      <c r="P40" s="47"/>
      <c r="Q40" s="16">
        <f>SUM($P$37+N40)</f>
        <v>19</v>
      </c>
    </row>
    <row r="42" spans="1:17" ht="15.75">
      <c r="A42" s="27">
        <v>292</v>
      </c>
      <c r="B42" s="26">
        <v>75</v>
      </c>
      <c r="C42" s="26" t="s">
        <v>38</v>
      </c>
      <c r="D42" s="26" t="s">
        <v>171</v>
      </c>
      <c r="E42" s="27"/>
      <c r="F42" s="27"/>
      <c r="G42" s="27"/>
      <c r="H42" s="31">
        <v>2</v>
      </c>
      <c r="I42" s="25"/>
      <c r="J42" s="32">
        <v>2</v>
      </c>
      <c r="K42" s="25"/>
      <c r="L42" s="31">
        <v>4</v>
      </c>
      <c r="M42" s="33"/>
      <c r="N42" s="34">
        <f>SUM(H42:M42)</f>
        <v>8</v>
      </c>
      <c r="O42" s="48" t="s">
        <v>204</v>
      </c>
      <c r="P42" s="47">
        <v>12</v>
      </c>
      <c r="Q42" s="16">
        <f>SUM($P$42+N42)</f>
        <v>20</v>
      </c>
    </row>
    <row r="43" spans="1:17" ht="15">
      <c r="A43" s="27">
        <v>196</v>
      </c>
      <c r="B43" s="26">
        <v>28</v>
      </c>
      <c r="C43" s="26" t="s">
        <v>43</v>
      </c>
      <c r="D43" s="26" t="s">
        <v>89</v>
      </c>
      <c r="E43" s="27"/>
      <c r="F43" s="27"/>
      <c r="G43" s="27"/>
      <c r="H43" s="32">
        <v>4</v>
      </c>
      <c r="I43" s="25"/>
      <c r="J43" s="25"/>
      <c r="K43" s="35">
        <v>2</v>
      </c>
      <c r="L43" s="25"/>
      <c r="M43" s="31">
        <v>2</v>
      </c>
      <c r="N43" s="34">
        <f>SUM(H43:M43)</f>
        <v>8</v>
      </c>
      <c r="O43" s="48"/>
      <c r="P43" s="47"/>
      <c r="Q43" s="16">
        <f>SUM($P$42+N43)</f>
        <v>20</v>
      </c>
    </row>
    <row r="44" spans="1:17" ht="15">
      <c r="A44" s="26">
        <v>278</v>
      </c>
      <c r="B44" s="26">
        <v>29</v>
      </c>
      <c r="C44" s="26" t="s">
        <v>88</v>
      </c>
      <c r="D44" s="26" t="s">
        <v>90</v>
      </c>
      <c r="E44" s="26"/>
      <c r="F44" s="26"/>
      <c r="G44" s="26"/>
      <c r="H44" s="25"/>
      <c r="I44" s="31">
        <v>4</v>
      </c>
      <c r="J44" s="31">
        <v>4</v>
      </c>
      <c r="K44" s="25"/>
      <c r="L44" s="25"/>
      <c r="M44" s="32">
        <v>4</v>
      </c>
      <c r="N44" s="34">
        <f>SUM(H44:M44)</f>
        <v>12</v>
      </c>
      <c r="O44" s="48"/>
      <c r="P44" s="47"/>
      <c r="Q44" s="16">
        <f>SUM($P$42+N44)</f>
        <v>24</v>
      </c>
    </row>
    <row r="45" spans="1:17" ht="15.75">
      <c r="A45" s="27">
        <v>252</v>
      </c>
      <c r="B45" s="26">
        <v>18</v>
      </c>
      <c r="C45" s="26" t="s">
        <v>72</v>
      </c>
      <c r="D45" s="26" t="s">
        <v>73</v>
      </c>
      <c r="E45" s="27"/>
      <c r="F45" s="27"/>
      <c r="G45" s="27"/>
      <c r="H45" s="25"/>
      <c r="I45" s="35">
        <v>2</v>
      </c>
      <c r="J45" s="25"/>
      <c r="K45" s="31">
        <v>4</v>
      </c>
      <c r="L45" s="35">
        <v>2</v>
      </c>
      <c r="M45" s="33"/>
      <c r="N45" s="34">
        <f>SUM(H45:M45)</f>
        <v>8</v>
      </c>
      <c r="O45" s="48"/>
      <c r="P45" s="47"/>
      <c r="Q45" s="16">
        <f>SUM($P$42+N45)</f>
        <v>20</v>
      </c>
    </row>
    <row r="47" spans="1:17" ht="15.75">
      <c r="A47" s="27">
        <v>239</v>
      </c>
      <c r="B47" s="26">
        <v>22</v>
      </c>
      <c r="C47" s="26" t="s">
        <v>77</v>
      </c>
      <c r="D47" s="26" t="s">
        <v>78</v>
      </c>
      <c r="E47" s="27"/>
      <c r="F47" s="27"/>
      <c r="G47" s="27"/>
      <c r="H47" s="31">
        <v>2</v>
      </c>
      <c r="I47" s="25"/>
      <c r="J47" s="32">
        <v>2</v>
      </c>
      <c r="K47" s="25"/>
      <c r="L47" s="31">
        <v>2</v>
      </c>
      <c r="M47" s="33"/>
      <c r="N47" s="34">
        <f>SUM(H47:M47)</f>
        <v>6</v>
      </c>
      <c r="O47" s="48" t="s">
        <v>205</v>
      </c>
      <c r="P47" s="47">
        <v>13</v>
      </c>
      <c r="Q47" s="16">
        <f>SUM($P$47+N47)</f>
        <v>19</v>
      </c>
    </row>
    <row r="48" spans="1:17" ht="15">
      <c r="A48" s="27">
        <v>260</v>
      </c>
      <c r="B48" s="26">
        <v>61</v>
      </c>
      <c r="C48" s="26" t="s">
        <v>152</v>
      </c>
      <c r="D48" s="26" t="s">
        <v>153</v>
      </c>
      <c r="E48" s="27"/>
      <c r="F48" s="27"/>
      <c r="G48" s="27"/>
      <c r="H48" s="32">
        <v>4</v>
      </c>
      <c r="I48" s="25"/>
      <c r="J48" s="25"/>
      <c r="K48" s="35">
        <v>4</v>
      </c>
      <c r="L48" s="25"/>
      <c r="M48" s="31" t="s">
        <v>194</v>
      </c>
      <c r="N48" s="34">
        <f>SUM(H48:M48)</f>
        <v>8</v>
      </c>
      <c r="O48" s="48"/>
      <c r="P48" s="47"/>
      <c r="Q48" s="16">
        <f>SUM($P$47+N48)</f>
        <v>21</v>
      </c>
    </row>
    <row r="49" spans="1:17" ht="15">
      <c r="A49" s="26">
        <v>204</v>
      </c>
      <c r="B49" s="26">
        <v>36</v>
      </c>
      <c r="C49" s="26" t="s">
        <v>102</v>
      </c>
      <c r="D49" s="26" t="s">
        <v>85</v>
      </c>
      <c r="E49" s="26"/>
      <c r="F49" s="26"/>
      <c r="G49" s="26"/>
      <c r="H49" s="25"/>
      <c r="I49" s="31">
        <v>4</v>
      </c>
      <c r="J49" s="31">
        <v>4</v>
      </c>
      <c r="K49" s="25"/>
      <c r="L49" s="25"/>
      <c r="M49" s="32">
        <v>4</v>
      </c>
      <c r="N49" s="34">
        <f>SUM(H49:M49)</f>
        <v>12</v>
      </c>
      <c r="O49" s="48"/>
      <c r="P49" s="47"/>
      <c r="Q49" s="16">
        <f>SUM($P$47+N49)</f>
        <v>25</v>
      </c>
    </row>
    <row r="50" spans="1:17" ht="15.75">
      <c r="A50" s="27">
        <v>219</v>
      </c>
      <c r="B50" s="26">
        <v>25</v>
      </c>
      <c r="C50" s="26" t="s">
        <v>82</v>
      </c>
      <c r="D50" s="26" t="s">
        <v>83</v>
      </c>
      <c r="E50" s="27"/>
      <c r="F50" s="27"/>
      <c r="G50" s="27"/>
      <c r="H50" s="25"/>
      <c r="I50" s="35">
        <v>2</v>
      </c>
      <c r="J50" s="25"/>
      <c r="K50" s="31">
        <v>2</v>
      </c>
      <c r="L50" s="35">
        <v>4</v>
      </c>
      <c r="M50" s="33"/>
      <c r="N50" s="34">
        <f>SUM(H50:M50)</f>
        <v>8</v>
      </c>
      <c r="O50" s="48"/>
      <c r="P50" s="47"/>
      <c r="Q50" s="16">
        <f>SUM($P$47+N50)</f>
        <v>21</v>
      </c>
    </row>
    <row r="52" spans="1:17" ht="15.75">
      <c r="A52" s="27">
        <v>203</v>
      </c>
      <c r="B52" s="26">
        <v>44</v>
      </c>
      <c r="C52" s="26" t="s">
        <v>102</v>
      </c>
      <c r="D52" s="26" t="s">
        <v>118</v>
      </c>
      <c r="E52" s="27"/>
      <c r="F52" s="27"/>
      <c r="G52" s="27"/>
      <c r="H52" s="31">
        <v>4</v>
      </c>
      <c r="I52" s="25"/>
      <c r="J52" s="32">
        <v>4</v>
      </c>
      <c r="K52" s="25"/>
      <c r="L52" s="31">
        <v>4</v>
      </c>
      <c r="M52" s="33"/>
      <c r="N52" s="34">
        <f>SUM(H52:M52)</f>
        <v>12</v>
      </c>
      <c r="O52" s="48" t="s">
        <v>206</v>
      </c>
      <c r="P52" s="47">
        <v>14</v>
      </c>
      <c r="Q52" s="16">
        <f>SUM($P$52+N52)</f>
        <v>26</v>
      </c>
    </row>
    <row r="53" spans="1:17" ht="15">
      <c r="A53" s="26">
        <v>215</v>
      </c>
      <c r="B53" s="26">
        <v>27</v>
      </c>
      <c r="C53" s="26" t="s">
        <v>87</v>
      </c>
      <c r="D53" s="26" t="s">
        <v>88</v>
      </c>
      <c r="E53" s="26"/>
      <c r="F53" s="26"/>
      <c r="G53" s="26"/>
      <c r="H53" s="32">
        <v>2</v>
      </c>
      <c r="I53" s="25"/>
      <c r="J53" s="25"/>
      <c r="K53" s="35">
        <v>2</v>
      </c>
      <c r="L53" s="25"/>
      <c r="M53" s="31">
        <v>2</v>
      </c>
      <c r="N53" s="34">
        <f>SUM(H53:M53)</f>
        <v>6</v>
      </c>
      <c r="O53" s="48"/>
      <c r="P53" s="47"/>
      <c r="Q53" s="16">
        <f>SUM($P$52+N53)</f>
        <v>20</v>
      </c>
    </row>
    <row r="54" spans="1:17" ht="15">
      <c r="A54" s="27">
        <v>209</v>
      </c>
      <c r="B54" s="26">
        <v>68</v>
      </c>
      <c r="C54" s="26" t="s">
        <v>129</v>
      </c>
      <c r="D54" s="26" t="s">
        <v>85</v>
      </c>
      <c r="E54" s="27"/>
      <c r="F54" s="27"/>
      <c r="G54" s="27"/>
      <c r="H54" s="25"/>
      <c r="I54" s="31">
        <v>4</v>
      </c>
      <c r="J54" s="31">
        <v>2</v>
      </c>
      <c r="K54" s="25"/>
      <c r="L54" s="25"/>
      <c r="M54" s="32">
        <v>4</v>
      </c>
      <c r="N54" s="34">
        <f>SUM(H54:M54)</f>
        <v>10</v>
      </c>
      <c r="O54" s="48"/>
      <c r="P54" s="47"/>
      <c r="Q54" s="16">
        <f>SUM($P$52+N54)</f>
        <v>24</v>
      </c>
    </row>
    <row r="55" spans="1:17" ht="15.75">
      <c r="A55" s="26">
        <v>187</v>
      </c>
      <c r="B55" s="26">
        <v>19</v>
      </c>
      <c r="C55" s="26" t="s">
        <v>74</v>
      </c>
      <c r="D55" s="26" t="s">
        <v>75</v>
      </c>
      <c r="E55" s="26"/>
      <c r="F55" s="26"/>
      <c r="G55" s="26"/>
      <c r="H55" s="25"/>
      <c r="I55" s="35">
        <v>2</v>
      </c>
      <c r="J55" s="25"/>
      <c r="K55" s="31">
        <v>4</v>
      </c>
      <c r="L55" s="35">
        <v>2</v>
      </c>
      <c r="M55" s="33"/>
      <c r="N55" s="34">
        <f>SUM(H55:M55)</f>
        <v>8</v>
      </c>
      <c r="O55" s="48"/>
      <c r="P55" s="47"/>
      <c r="Q55" s="16">
        <f>SUM($P$52+N55)</f>
        <v>22</v>
      </c>
    </row>
    <row r="57" spans="1:17" ht="15.75">
      <c r="A57" s="26">
        <v>261</v>
      </c>
      <c r="B57" s="27">
        <v>89</v>
      </c>
      <c r="C57" s="27" t="s">
        <v>185</v>
      </c>
      <c r="D57" s="27" t="s">
        <v>186</v>
      </c>
      <c r="E57" s="26"/>
      <c r="F57" s="26"/>
      <c r="G57" s="26"/>
      <c r="H57" s="31">
        <v>4</v>
      </c>
      <c r="I57" s="25"/>
      <c r="J57" s="32">
        <v>2</v>
      </c>
      <c r="K57" s="25"/>
      <c r="L57" s="31">
        <v>2</v>
      </c>
      <c r="M57" s="33"/>
      <c r="N57" s="34">
        <f>SUM(H57:M57)</f>
        <v>8</v>
      </c>
      <c r="O57" s="48" t="s">
        <v>207</v>
      </c>
      <c r="P57" s="47">
        <v>15</v>
      </c>
      <c r="Q57" s="16">
        <f>SUM($P$57+N57)</f>
        <v>23</v>
      </c>
    </row>
    <row r="58" spans="1:17" ht="15">
      <c r="A58" s="27">
        <v>230</v>
      </c>
      <c r="B58" s="26">
        <v>67</v>
      </c>
      <c r="C58" s="26" t="s">
        <v>160</v>
      </c>
      <c r="D58" s="26" t="s">
        <v>88</v>
      </c>
      <c r="E58" s="27"/>
      <c r="F58" s="27"/>
      <c r="G58" s="27"/>
      <c r="H58" s="32" t="s">
        <v>194</v>
      </c>
      <c r="I58" s="25"/>
      <c r="J58" s="25"/>
      <c r="K58" s="35">
        <v>2</v>
      </c>
      <c r="L58" s="25"/>
      <c r="M58" s="31">
        <v>2</v>
      </c>
      <c r="N58" s="34">
        <f>SUM(H58:M58)</f>
        <v>4</v>
      </c>
      <c r="O58" s="48"/>
      <c r="P58" s="47"/>
      <c r="Q58" s="16">
        <f>SUM($P$57+N58)</f>
        <v>19</v>
      </c>
    </row>
    <row r="59" spans="1:17" ht="15">
      <c r="A59" s="26">
        <v>191</v>
      </c>
      <c r="B59" s="26">
        <v>24</v>
      </c>
      <c r="C59" s="26" t="s">
        <v>80</v>
      </c>
      <c r="D59" s="26" t="s">
        <v>81</v>
      </c>
      <c r="E59" s="26"/>
      <c r="F59" s="26"/>
      <c r="G59" s="26"/>
      <c r="H59" s="25"/>
      <c r="I59" s="31">
        <v>2</v>
      </c>
      <c r="J59" s="31">
        <v>4</v>
      </c>
      <c r="K59" s="25"/>
      <c r="L59" s="25"/>
      <c r="M59" s="32">
        <v>4</v>
      </c>
      <c r="N59" s="34">
        <f>SUM(H59:M59)</f>
        <v>10</v>
      </c>
      <c r="O59" s="48"/>
      <c r="P59" s="47"/>
      <c r="Q59" s="16">
        <f>SUM($P$57+N59)</f>
        <v>25</v>
      </c>
    </row>
    <row r="60" spans="1:17" ht="15.75">
      <c r="A60" s="26">
        <v>202</v>
      </c>
      <c r="B60" s="26">
        <v>35</v>
      </c>
      <c r="C60" s="26" t="s">
        <v>100</v>
      </c>
      <c r="D60" s="26" t="s">
        <v>218</v>
      </c>
      <c r="E60" s="26"/>
      <c r="F60" s="26"/>
      <c r="G60" s="26"/>
      <c r="H60" s="25"/>
      <c r="I60" s="35">
        <v>4</v>
      </c>
      <c r="J60" s="25"/>
      <c r="K60" s="31">
        <v>4</v>
      </c>
      <c r="L60" s="35">
        <v>4</v>
      </c>
      <c r="M60" s="33"/>
      <c r="N60" s="34">
        <f>SUM(H60:M60)</f>
        <v>12</v>
      </c>
      <c r="O60" s="48"/>
      <c r="P60" s="47"/>
      <c r="Q60" s="16">
        <f>SUM($P$57+N60)</f>
        <v>27</v>
      </c>
    </row>
    <row r="61" spans="1:16" s="16" customFormat="1" ht="15.75">
      <c r="A61" s="6"/>
      <c r="B61" s="6"/>
      <c r="C61" s="6"/>
      <c r="D61" s="6"/>
      <c r="E61" s="6"/>
      <c r="F61" s="6"/>
      <c r="G61" s="6"/>
      <c r="H61" s="39"/>
      <c r="I61" s="39"/>
      <c r="J61" s="39"/>
      <c r="K61" s="39"/>
      <c r="L61" s="39"/>
      <c r="M61" s="40"/>
      <c r="O61" s="41"/>
      <c r="P61" s="43"/>
    </row>
    <row r="63" spans="1:17" ht="15.75">
      <c r="A63" s="26">
        <v>213</v>
      </c>
      <c r="B63" s="26">
        <v>88</v>
      </c>
      <c r="C63" s="26" t="s">
        <v>184</v>
      </c>
      <c r="D63" s="26" t="s">
        <v>156</v>
      </c>
      <c r="E63" s="26"/>
      <c r="F63" s="26"/>
      <c r="G63" s="26"/>
      <c r="H63" s="31">
        <v>2</v>
      </c>
      <c r="I63" s="25"/>
      <c r="J63" s="32">
        <v>2</v>
      </c>
      <c r="K63" s="25"/>
      <c r="L63" s="31">
        <v>2</v>
      </c>
      <c r="M63" s="33"/>
      <c r="N63" s="34">
        <f>SUM(H63:M63)</f>
        <v>6</v>
      </c>
      <c r="O63" s="48" t="s">
        <v>208</v>
      </c>
      <c r="P63" s="47">
        <v>16</v>
      </c>
      <c r="Q63" s="8">
        <f>SUM($P$63+N63)</f>
        <v>22</v>
      </c>
    </row>
    <row r="64" spans="1:17" ht="15">
      <c r="A64" s="27">
        <v>241</v>
      </c>
      <c r="B64" s="27">
        <v>91</v>
      </c>
      <c r="C64" s="27" t="s">
        <v>188</v>
      </c>
      <c r="D64" s="27" t="s">
        <v>189</v>
      </c>
      <c r="E64" s="27"/>
      <c r="F64" s="27"/>
      <c r="G64" s="27"/>
      <c r="H64" s="32">
        <v>4</v>
      </c>
      <c r="I64" s="25"/>
      <c r="J64" s="25"/>
      <c r="K64" s="35">
        <v>2</v>
      </c>
      <c r="L64" s="25"/>
      <c r="M64" s="31">
        <v>2</v>
      </c>
      <c r="N64" s="34">
        <f>SUM(H64:M64)</f>
        <v>8</v>
      </c>
      <c r="O64" s="48"/>
      <c r="P64" s="47"/>
      <c r="Q64" s="8">
        <f>SUM($P$63+N64)</f>
        <v>24</v>
      </c>
    </row>
    <row r="65" spans="1:17" ht="15">
      <c r="A65" s="36">
        <v>248</v>
      </c>
      <c r="B65" s="26">
        <v>26</v>
      </c>
      <c r="C65" s="26" t="s">
        <v>84</v>
      </c>
      <c r="D65" s="26" t="s">
        <v>85</v>
      </c>
      <c r="E65" s="26"/>
      <c r="F65" s="26"/>
      <c r="G65" s="26"/>
      <c r="H65" s="25"/>
      <c r="I65" s="31">
        <v>2</v>
      </c>
      <c r="J65" s="31">
        <v>4</v>
      </c>
      <c r="K65" s="25"/>
      <c r="L65" s="25"/>
      <c r="M65" s="32">
        <v>4</v>
      </c>
      <c r="N65" s="34">
        <f>SUM(H65:M65)</f>
        <v>10</v>
      </c>
      <c r="O65" s="48"/>
      <c r="P65" s="47"/>
      <c r="Q65" s="8">
        <f>SUM($P$63+N65)</f>
        <v>26</v>
      </c>
    </row>
    <row r="66" spans="1:17" ht="15.75">
      <c r="A66" s="26">
        <v>183</v>
      </c>
      <c r="B66" s="26">
        <v>48</v>
      </c>
      <c r="C66" s="26" t="s">
        <v>125</v>
      </c>
      <c r="D66" s="26" t="s">
        <v>126</v>
      </c>
      <c r="E66" s="26"/>
      <c r="F66" s="26"/>
      <c r="G66" s="26"/>
      <c r="H66" s="25"/>
      <c r="I66" s="35">
        <v>4</v>
      </c>
      <c r="J66" s="25"/>
      <c r="K66" s="31">
        <v>4</v>
      </c>
      <c r="L66" s="35">
        <v>4</v>
      </c>
      <c r="M66" s="33"/>
      <c r="N66" s="34">
        <f>SUM(H66:M66)</f>
        <v>12</v>
      </c>
      <c r="O66" s="48"/>
      <c r="P66" s="47"/>
      <c r="Q66" s="8">
        <f>SUM($P$63+N66)</f>
        <v>28</v>
      </c>
    </row>
    <row r="68" spans="1:17" ht="15.75">
      <c r="A68" s="27">
        <v>265</v>
      </c>
      <c r="B68" s="26">
        <v>33</v>
      </c>
      <c r="C68" s="26" t="s">
        <v>95</v>
      </c>
      <c r="D68" s="26" t="s">
        <v>96</v>
      </c>
      <c r="E68" s="27"/>
      <c r="F68" s="27"/>
      <c r="G68" s="27"/>
      <c r="H68" s="31">
        <v>4</v>
      </c>
      <c r="I68" s="25"/>
      <c r="J68" s="32">
        <v>4</v>
      </c>
      <c r="K68" s="25"/>
      <c r="L68" s="31">
        <v>4</v>
      </c>
      <c r="M68" s="33"/>
      <c r="N68" s="34">
        <f>SUM(H68:M68)</f>
        <v>12</v>
      </c>
      <c r="O68" s="48" t="s">
        <v>209</v>
      </c>
      <c r="P68" s="47">
        <v>17</v>
      </c>
      <c r="Q68" s="16">
        <f>SUM($P$68+N68)</f>
        <v>29</v>
      </c>
    </row>
    <row r="69" spans="1:17" ht="15">
      <c r="A69" s="27">
        <v>185</v>
      </c>
      <c r="B69" s="26">
        <v>77</v>
      </c>
      <c r="C69" s="26" t="s">
        <v>125</v>
      </c>
      <c r="D69" s="26" t="s">
        <v>175</v>
      </c>
      <c r="E69" s="27"/>
      <c r="F69" s="27"/>
      <c r="G69" s="27"/>
      <c r="H69" s="32">
        <v>2</v>
      </c>
      <c r="I69" s="25"/>
      <c r="J69" s="25"/>
      <c r="K69" s="35">
        <v>2</v>
      </c>
      <c r="L69" s="25"/>
      <c r="M69" s="31">
        <v>4</v>
      </c>
      <c r="N69" s="34">
        <f>SUM(H69:M69)</f>
        <v>8</v>
      </c>
      <c r="O69" s="48"/>
      <c r="P69" s="47"/>
      <c r="Q69" s="16">
        <f>SUM($P$68+N69)</f>
        <v>25</v>
      </c>
    </row>
    <row r="70" spans="1:17" ht="15">
      <c r="A70" s="26">
        <v>210</v>
      </c>
      <c r="B70" s="26">
        <v>50</v>
      </c>
      <c r="C70" s="26" t="s">
        <v>129</v>
      </c>
      <c r="D70" s="26" t="s">
        <v>68</v>
      </c>
      <c r="E70" s="26"/>
      <c r="F70" s="26"/>
      <c r="G70" s="26"/>
      <c r="H70" s="25"/>
      <c r="I70" s="31">
        <v>2</v>
      </c>
      <c r="J70" s="31">
        <v>2</v>
      </c>
      <c r="K70" s="25"/>
      <c r="L70" s="25"/>
      <c r="M70" s="32">
        <v>2</v>
      </c>
      <c r="N70" s="34">
        <f>SUM(H70:M70)</f>
        <v>6</v>
      </c>
      <c r="O70" s="48"/>
      <c r="P70" s="47"/>
      <c r="Q70" s="16">
        <f>SUM($P$68+N70)</f>
        <v>23</v>
      </c>
    </row>
    <row r="71" spans="1:17" ht="15.75">
      <c r="A71" s="27">
        <v>243</v>
      </c>
      <c r="B71" s="26">
        <v>32</v>
      </c>
      <c r="C71" s="26" t="s">
        <v>93</v>
      </c>
      <c r="D71" s="26" t="s">
        <v>48</v>
      </c>
      <c r="E71" s="27"/>
      <c r="F71" s="27"/>
      <c r="G71" s="27"/>
      <c r="H71" s="25"/>
      <c r="I71" s="35">
        <v>4</v>
      </c>
      <c r="J71" s="25"/>
      <c r="K71" s="31">
        <v>4</v>
      </c>
      <c r="L71" s="35">
        <v>2</v>
      </c>
      <c r="M71" s="33"/>
      <c r="N71" s="34">
        <f>SUM(H71:M71)</f>
        <v>10</v>
      </c>
      <c r="O71" s="48"/>
      <c r="P71" s="47"/>
      <c r="Q71" s="16">
        <f>SUM($P$68+N71)</f>
        <v>27</v>
      </c>
    </row>
    <row r="73" spans="1:17" ht="15.75">
      <c r="A73" s="26">
        <v>275</v>
      </c>
      <c r="B73" s="26">
        <v>47</v>
      </c>
      <c r="C73" s="26" t="s">
        <v>123</v>
      </c>
      <c r="D73" s="26" t="s">
        <v>124</v>
      </c>
      <c r="E73" s="26"/>
      <c r="F73" s="26"/>
      <c r="G73" s="26"/>
      <c r="H73" s="31">
        <v>4</v>
      </c>
      <c r="I73" s="25"/>
      <c r="J73" s="32">
        <v>4</v>
      </c>
      <c r="K73" s="25"/>
      <c r="L73" s="31">
        <v>4</v>
      </c>
      <c r="M73" s="33"/>
      <c r="N73" s="34">
        <f>SUM(H73:M73)</f>
        <v>12</v>
      </c>
      <c r="O73" s="48" t="s">
        <v>210</v>
      </c>
      <c r="P73" s="47">
        <v>18</v>
      </c>
      <c r="Q73" s="16">
        <f>SUM($P$73+N73)</f>
        <v>30</v>
      </c>
    </row>
    <row r="74" spans="1:17" ht="15">
      <c r="A74" s="37">
        <v>280</v>
      </c>
      <c r="B74" s="26">
        <v>62</v>
      </c>
      <c r="C74" s="26" t="s">
        <v>108</v>
      </c>
      <c r="D74" s="26" t="s">
        <v>120</v>
      </c>
      <c r="E74" s="27"/>
      <c r="F74" s="27"/>
      <c r="G74" s="27"/>
      <c r="H74" s="32">
        <v>2</v>
      </c>
      <c r="I74" s="25"/>
      <c r="J74" s="25"/>
      <c r="K74" s="35" t="s">
        <v>195</v>
      </c>
      <c r="L74" s="25"/>
      <c r="M74" s="31">
        <v>2</v>
      </c>
      <c r="N74" s="34">
        <f>SUM(H74:M74)</f>
        <v>4</v>
      </c>
      <c r="O74" s="48"/>
      <c r="P74" s="47"/>
      <c r="Q74" s="16">
        <f>SUM($P$73+N74)</f>
        <v>22</v>
      </c>
    </row>
    <row r="75" spans="1:17" ht="15">
      <c r="A75" s="26">
        <v>264</v>
      </c>
      <c r="B75" s="26">
        <v>66</v>
      </c>
      <c r="C75" s="26" t="s">
        <v>159</v>
      </c>
      <c r="D75" s="26" t="s">
        <v>131</v>
      </c>
      <c r="E75" s="26"/>
      <c r="F75" s="26"/>
      <c r="G75" s="26"/>
      <c r="H75" s="25"/>
      <c r="I75" s="31">
        <v>4</v>
      </c>
      <c r="J75" s="31" t="s">
        <v>194</v>
      </c>
      <c r="K75" s="25"/>
      <c r="L75" s="25"/>
      <c r="M75" s="32">
        <v>4</v>
      </c>
      <c r="N75" s="34">
        <f>SUM(H75:M75)</f>
        <v>8</v>
      </c>
      <c r="O75" s="48"/>
      <c r="P75" s="47"/>
      <c r="Q75" s="16">
        <f>SUM($P$73+N75)</f>
        <v>26</v>
      </c>
    </row>
    <row r="76" spans="1:17" ht="15.75">
      <c r="A76" s="26">
        <v>296</v>
      </c>
      <c r="B76" s="26">
        <v>87</v>
      </c>
      <c r="C76" s="26" t="s">
        <v>67</v>
      </c>
      <c r="D76" s="26" t="s">
        <v>60</v>
      </c>
      <c r="E76" s="26"/>
      <c r="F76" s="26"/>
      <c r="G76" s="26"/>
      <c r="H76" s="25"/>
      <c r="I76" s="35" t="s">
        <v>194</v>
      </c>
      <c r="J76" s="25"/>
      <c r="K76" s="31">
        <v>4</v>
      </c>
      <c r="L76" s="35">
        <v>2</v>
      </c>
      <c r="M76" s="33"/>
      <c r="N76" s="34">
        <f>SUM(H76:M76)</f>
        <v>6</v>
      </c>
      <c r="O76" s="48"/>
      <c r="P76" s="47"/>
      <c r="Q76" s="16">
        <f>SUM($P$73+N76)</f>
        <v>24</v>
      </c>
    </row>
    <row r="78" spans="1:17" ht="15.75">
      <c r="A78" s="27">
        <v>233</v>
      </c>
      <c r="B78" s="26">
        <v>84</v>
      </c>
      <c r="C78" s="26" t="s">
        <v>98</v>
      </c>
      <c r="D78" s="26" t="s">
        <v>180</v>
      </c>
      <c r="E78" s="27"/>
      <c r="F78" s="27"/>
      <c r="G78" s="27"/>
      <c r="H78" s="31">
        <v>2</v>
      </c>
      <c r="I78" s="25"/>
      <c r="J78" s="32">
        <v>4</v>
      </c>
      <c r="K78" s="25"/>
      <c r="L78" s="31" t="s">
        <v>194</v>
      </c>
      <c r="M78" s="33"/>
      <c r="N78" s="34">
        <f>SUM(H78:M78)</f>
        <v>6</v>
      </c>
      <c r="O78" s="48" t="s">
        <v>211</v>
      </c>
      <c r="P78" s="47">
        <v>19</v>
      </c>
      <c r="Q78" s="16">
        <f>SUM($P$78+N78)</f>
        <v>25</v>
      </c>
    </row>
    <row r="79" spans="1:17" ht="15">
      <c r="A79" s="27">
        <v>245</v>
      </c>
      <c r="B79" s="26">
        <v>86</v>
      </c>
      <c r="C79" s="26" t="s">
        <v>165</v>
      </c>
      <c r="D79" s="26" t="s">
        <v>182</v>
      </c>
      <c r="E79" s="27"/>
      <c r="F79" s="27"/>
      <c r="G79" s="27"/>
      <c r="H79" s="32">
        <v>4</v>
      </c>
      <c r="I79" s="25"/>
      <c r="J79" s="25"/>
      <c r="K79" s="35">
        <v>2</v>
      </c>
      <c r="L79" s="25"/>
      <c r="M79" s="31">
        <v>4</v>
      </c>
      <c r="N79" s="34">
        <f>SUM(H79:M79)</f>
        <v>10</v>
      </c>
      <c r="O79" s="48"/>
      <c r="P79" s="47"/>
      <c r="Q79" s="16">
        <f>SUM($P$78+N79)</f>
        <v>29</v>
      </c>
    </row>
    <row r="80" spans="1:17" ht="15">
      <c r="A80" s="26">
        <v>258</v>
      </c>
      <c r="B80" s="26">
        <v>78</v>
      </c>
      <c r="C80" s="26" t="s">
        <v>69</v>
      </c>
      <c r="D80" s="26" t="s">
        <v>176</v>
      </c>
      <c r="E80" s="26"/>
      <c r="F80" s="26"/>
      <c r="G80" s="26"/>
      <c r="H80" s="25"/>
      <c r="I80" s="31" t="s">
        <v>194</v>
      </c>
      <c r="J80" s="31">
        <v>2</v>
      </c>
      <c r="K80" s="25"/>
      <c r="L80" s="25"/>
      <c r="M80" s="32">
        <v>2</v>
      </c>
      <c r="N80" s="34">
        <f>SUM(H80:M80)</f>
        <v>4</v>
      </c>
      <c r="O80" s="48"/>
      <c r="P80" s="47"/>
      <c r="Q80" s="16">
        <f>SUM($P$78+N80)</f>
        <v>23</v>
      </c>
    </row>
    <row r="81" spans="1:17" ht="15.75">
      <c r="A81" s="26">
        <v>242</v>
      </c>
      <c r="B81" s="26">
        <v>92</v>
      </c>
      <c r="C81" s="26" t="s">
        <v>188</v>
      </c>
      <c r="D81" s="26" t="s">
        <v>118</v>
      </c>
      <c r="E81" s="26"/>
      <c r="F81" s="26"/>
      <c r="G81" s="26"/>
      <c r="H81" s="25"/>
      <c r="I81" s="35">
        <v>4</v>
      </c>
      <c r="J81" s="25"/>
      <c r="K81" s="31">
        <v>4</v>
      </c>
      <c r="L81" s="35">
        <v>4</v>
      </c>
      <c r="M81" s="33"/>
      <c r="N81" s="34">
        <f>SUM(H81:M81)</f>
        <v>12</v>
      </c>
      <c r="O81" s="48"/>
      <c r="P81" s="47"/>
      <c r="Q81" s="16">
        <f>SUM($P$78+N81)</f>
        <v>31</v>
      </c>
    </row>
    <row r="83" spans="1:17" ht="15.75">
      <c r="A83" s="26">
        <v>269</v>
      </c>
      <c r="B83" s="26">
        <v>54</v>
      </c>
      <c r="C83" s="26" t="s">
        <v>121</v>
      </c>
      <c r="D83" s="26" t="s">
        <v>137</v>
      </c>
      <c r="E83" s="26"/>
      <c r="F83" s="26"/>
      <c r="G83" s="26"/>
      <c r="H83" s="31">
        <v>4</v>
      </c>
      <c r="I83" s="25"/>
      <c r="J83" s="32">
        <v>4</v>
      </c>
      <c r="K83" s="25"/>
      <c r="L83" s="31">
        <v>4</v>
      </c>
      <c r="M83" s="33"/>
      <c r="N83" s="34">
        <f>SUM(H83:M83)</f>
        <v>12</v>
      </c>
      <c r="O83" s="48" t="s">
        <v>212</v>
      </c>
      <c r="P83" s="47">
        <v>20</v>
      </c>
      <c r="Q83" s="16">
        <f>SUM($P$83+N83)</f>
        <v>32</v>
      </c>
    </row>
    <row r="84" spans="1:17" ht="15">
      <c r="A84" s="26">
        <v>285</v>
      </c>
      <c r="B84" s="26">
        <v>51</v>
      </c>
      <c r="C84" s="26" t="s">
        <v>130</v>
      </c>
      <c r="D84" s="26" t="s">
        <v>131</v>
      </c>
      <c r="E84" s="26"/>
      <c r="F84" s="26"/>
      <c r="G84" s="26"/>
      <c r="H84" s="32">
        <v>2</v>
      </c>
      <c r="I84" s="25"/>
      <c r="J84" s="25"/>
      <c r="K84" s="35">
        <v>4</v>
      </c>
      <c r="L84" s="25"/>
      <c r="M84" s="31">
        <v>4</v>
      </c>
      <c r="N84" s="34">
        <f>SUM(H84:M84)</f>
        <v>10</v>
      </c>
      <c r="O84" s="48"/>
      <c r="P84" s="47"/>
      <c r="Q84" s="16">
        <f>SUM($P$83+N84)</f>
        <v>30</v>
      </c>
    </row>
    <row r="85" spans="1:17" ht="15">
      <c r="A85" s="27">
        <v>205</v>
      </c>
      <c r="B85" s="26">
        <v>53</v>
      </c>
      <c r="C85" s="26" t="s">
        <v>134</v>
      </c>
      <c r="D85" s="26" t="s">
        <v>135</v>
      </c>
      <c r="E85" s="27"/>
      <c r="F85" s="27"/>
      <c r="G85" s="27"/>
      <c r="H85" s="25"/>
      <c r="I85" s="31">
        <v>4</v>
      </c>
      <c r="J85" s="31" t="s">
        <v>194</v>
      </c>
      <c r="K85" s="25"/>
      <c r="L85" s="25"/>
      <c r="M85" s="32">
        <v>2</v>
      </c>
      <c r="N85" s="34">
        <f>SUM(H85:M85)</f>
        <v>6</v>
      </c>
      <c r="O85" s="48"/>
      <c r="P85" s="47"/>
      <c r="Q85" s="16">
        <f>SUM($P$83+N85)</f>
        <v>26</v>
      </c>
    </row>
    <row r="86" spans="1:17" ht="15.75">
      <c r="A86" s="27">
        <v>295</v>
      </c>
      <c r="B86" s="26">
        <v>69</v>
      </c>
      <c r="C86" s="26" t="s">
        <v>161</v>
      </c>
      <c r="D86" s="26" t="s">
        <v>162</v>
      </c>
      <c r="E86" s="27"/>
      <c r="F86" s="27"/>
      <c r="G86" s="27"/>
      <c r="H86" s="25"/>
      <c r="I86" s="35">
        <v>2</v>
      </c>
      <c r="J86" s="25"/>
      <c r="K86" s="31" t="s">
        <v>194</v>
      </c>
      <c r="L86" s="35">
        <v>2</v>
      </c>
      <c r="M86" s="33"/>
      <c r="N86" s="34">
        <f>SUM(H86:M86)</f>
        <v>4</v>
      </c>
      <c r="O86" s="48"/>
      <c r="P86" s="47"/>
      <c r="Q86" s="16">
        <f>SUM($P$83+N86)</f>
        <v>24</v>
      </c>
    </row>
    <row r="87" ht="12.75">
      <c r="O87" s="38"/>
    </row>
    <row r="88" spans="1:17" ht="15.75">
      <c r="A88" s="27">
        <v>291</v>
      </c>
      <c r="B88" s="26">
        <v>37</v>
      </c>
      <c r="C88" s="26" t="s">
        <v>38</v>
      </c>
      <c r="D88" s="26" t="s">
        <v>104</v>
      </c>
      <c r="E88" s="27"/>
      <c r="F88" s="27"/>
      <c r="G88" s="27"/>
      <c r="H88" s="31">
        <v>4</v>
      </c>
      <c r="I88" s="25"/>
      <c r="J88" s="32">
        <v>2</v>
      </c>
      <c r="K88" s="25"/>
      <c r="L88" s="31">
        <v>2</v>
      </c>
      <c r="M88" s="33"/>
      <c r="N88" s="34">
        <f>SUM(H88:M88)</f>
        <v>8</v>
      </c>
      <c r="O88" s="48" t="s">
        <v>213</v>
      </c>
      <c r="P88" s="47">
        <v>21</v>
      </c>
      <c r="Q88" s="16">
        <f>SUM($P$88+N88)</f>
        <v>29</v>
      </c>
    </row>
    <row r="89" spans="1:17" ht="15">
      <c r="A89" s="27">
        <v>208</v>
      </c>
      <c r="B89" s="26">
        <v>43</v>
      </c>
      <c r="C89" s="26" t="s">
        <v>116</v>
      </c>
      <c r="D89" s="26" t="s">
        <v>117</v>
      </c>
      <c r="E89" s="27"/>
      <c r="F89" s="27"/>
      <c r="G89" s="27"/>
      <c r="H89" s="32">
        <v>2</v>
      </c>
      <c r="I89" s="25"/>
      <c r="J89" s="25"/>
      <c r="K89" s="35">
        <v>2</v>
      </c>
      <c r="L89" s="25"/>
      <c r="M89" s="31">
        <v>4</v>
      </c>
      <c r="N89" s="34">
        <f>SUM(H89:M89)</f>
        <v>8</v>
      </c>
      <c r="O89" s="48"/>
      <c r="P89" s="47"/>
      <c r="Q89" s="16">
        <f>SUM($P$88+N89)</f>
        <v>29</v>
      </c>
    </row>
    <row r="90" spans="1:17" ht="15">
      <c r="A90" s="27">
        <v>256</v>
      </c>
      <c r="B90" s="26">
        <v>52</v>
      </c>
      <c r="C90" s="26" t="s">
        <v>132</v>
      </c>
      <c r="D90" s="26" t="s">
        <v>133</v>
      </c>
      <c r="E90" s="27"/>
      <c r="F90" s="27"/>
      <c r="G90" s="27"/>
      <c r="H90" s="25"/>
      <c r="I90" s="31">
        <v>4</v>
      </c>
      <c r="J90" s="31">
        <v>4</v>
      </c>
      <c r="K90" s="25"/>
      <c r="L90" s="25"/>
      <c r="M90" s="32" t="s">
        <v>194</v>
      </c>
      <c r="N90" s="34">
        <f>SUM(H90:M90)</f>
        <v>8</v>
      </c>
      <c r="O90" s="48"/>
      <c r="P90" s="47"/>
      <c r="Q90" s="16">
        <f>SUM($P$88+N90)</f>
        <v>29</v>
      </c>
    </row>
    <row r="91" spans="1:17" ht="15.75">
      <c r="A91" s="27">
        <v>199</v>
      </c>
      <c r="B91" s="26">
        <v>57</v>
      </c>
      <c r="C91" s="26" t="s">
        <v>143</v>
      </c>
      <c r="D91" s="26" t="s">
        <v>144</v>
      </c>
      <c r="E91" s="27"/>
      <c r="F91" s="27"/>
      <c r="G91" s="27"/>
      <c r="H91" s="25"/>
      <c r="I91" s="35">
        <v>2</v>
      </c>
      <c r="J91" s="25"/>
      <c r="K91" s="31">
        <v>4</v>
      </c>
      <c r="L91" s="35">
        <v>4</v>
      </c>
      <c r="M91" s="33"/>
      <c r="N91" s="34">
        <f>SUM(H91:M91)</f>
        <v>10</v>
      </c>
      <c r="O91" s="48"/>
      <c r="P91" s="47"/>
      <c r="Q91" s="16">
        <f>SUM($P$88+N91)</f>
        <v>31</v>
      </c>
    </row>
    <row r="92" spans="1:16" s="16" customFormat="1" ht="15.75">
      <c r="A92" s="6"/>
      <c r="B92" s="6"/>
      <c r="C92" s="6"/>
      <c r="D92" s="6"/>
      <c r="E92" s="6"/>
      <c r="F92" s="6"/>
      <c r="G92" s="6"/>
      <c r="H92" s="39"/>
      <c r="I92" s="39"/>
      <c r="J92" s="39"/>
      <c r="K92" s="39"/>
      <c r="L92" s="39"/>
      <c r="M92" s="40"/>
      <c r="O92" s="41"/>
      <c r="P92" s="43"/>
    </row>
    <row r="93" ht="12.75">
      <c r="O93" s="38"/>
    </row>
    <row r="94" spans="1:17" ht="15.75">
      <c r="A94" s="26">
        <v>173</v>
      </c>
      <c r="B94" s="26">
        <v>38</v>
      </c>
      <c r="C94" s="26" t="s">
        <v>105</v>
      </c>
      <c r="D94" s="26" t="s">
        <v>57</v>
      </c>
      <c r="E94" s="26"/>
      <c r="F94" s="26"/>
      <c r="G94" s="26"/>
      <c r="H94" s="31">
        <v>2</v>
      </c>
      <c r="I94" s="25"/>
      <c r="J94" s="32">
        <v>2</v>
      </c>
      <c r="K94" s="25"/>
      <c r="L94" s="31">
        <v>4</v>
      </c>
      <c r="M94" s="33"/>
      <c r="N94" s="34">
        <f>SUM(H94:M94)</f>
        <v>8</v>
      </c>
      <c r="O94" s="48" t="s">
        <v>214</v>
      </c>
      <c r="P94" s="47">
        <v>22</v>
      </c>
      <c r="Q94" s="8">
        <f>SUM($P$94+N94)</f>
        <v>30</v>
      </c>
    </row>
    <row r="95" spans="1:17" ht="15">
      <c r="A95" s="26">
        <v>257</v>
      </c>
      <c r="B95" s="27">
        <v>93</v>
      </c>
      <c r="C95" s="27" t="s">
        <v>191</v>
      </c>
      <c r="D95" s="27" t="s">
        <v>192</v>
      </c>
      <c r="E95" s="26"/>
      <c r="F95" s="26"/>
      <c r="G95" s="26"/>
      <c r="H95" s="32">
        <v>4</v>
      </c>
      <c r="I95" s="25"/>
      <c r="J95" s="25"/>
      <c r="K95" s="35">
        <v>2</v>
      </c>
      <c r="L95" s="25"/>
      <c r="M95" s="31">
        <v>3</v>
      </c>
      <c r="N95" s="34">
        <f>SUM(H95:M95)</f>
        <v>9</v>
      </c>
      <c r="O95" s="48"/>
      <c r="P95" s="47"/>
      <c r="Q95" s="8">
        <f>SUM($P$94+N95)</f>
        <v>31</v>
      </c>
    </row>
    <row r="96" spans="1:17" ht="15">
      <c r="A96" s="27">
        <v>206</v>
      </c>
      <c r="B96" s="26">
        <v>85</v>
      </c>
      <c r="C96" s="26" t="s">
        <v>116</v>
      </c>
      <c r="D96" s="26" t="s">
        <v>181</v>
      </c>
      <c r="E96" s="27"/>
      <c r="F96" s="27"/>
      <c r="G96" s="27"/>
      <c r="H96" s="25"/>
      <c r="I96" s="31">
        <v>4</v>
      </c>
      <c r="J96" s="31">
        <v>4</v>
      </c>
      <c r="K96" s="25"/>
      <c r="L96" s="25"/>
      <c r="M96" s="32">
        <v>3</v>
      </c>
      <c r="N96" s="34">
        <f>SUM(H96:M96)</f>
        <v>11</v>
      </c>
      <c r="O96" s="48"/>
      <c r="P96" s="47"/>
      <c r="Q96" s="8">
        <f>SUM($P$94+N96)</f>
        <v>33</v>
      </c>
    </row>
    <row r="97" spans="1:17" ht="15.75">
      <c r="A97" s="26">
        <v>231</v>
      </c>
      <c r="B97" s="26">
        <v>59</v>
      </c>
      <c r="C97" s="26" t="s">
        <v>148</v>
      </c>
      <c r="D97" s="26" t="s">
        <v>149</v>
      </c>
      <c r="E97" s="26"/>
      <c r="F97" s="26"/>
      <c r="G97" s="26"/>
      <c r="H97" s="25"/>
      <c r="I97" s="35">
        <v>2</v>
      </c>
      <c r="J97" s="25"/>
      <c r="K97" s="31">
        <v>4</v>
      </c>
      <c r="L97" s="35" t="s">
        <v>194</v>
      </c>
      <c r="M97" s="33"/>
      <c r="N97" s="34">
        <f>SUM(H97:M97)</f>
        <v>6</v>
      </c>
      <c r="O97" s="48"/>
      <c r="P97" s="47"/>
      <c r="Q97" s="8">
        <f>SUM($P$94+N97)</f>
        <v>28</v>
      </c>
    </row>
    <row r="98" ht="12.75">
      <c r="O98" s="38"/>
    </row>
    <row r="99" spans="1:17" ht="15.75">
      <c r="A99" s="26">
        <v>244</v>
      </c>
      <c r="B99" s="26">
        <v>49</v>
      </c>
      <c r="C99" s="26" t="s">
        <v>127</v>
      </c>
      <c r="D99" s="26" t="s">
        <v>128</v>
      </c>
      <c r="E99" s="26"/>
      <c r="F99" s="26"/>
      <c r="G99" s="26"/>
      <c r="H99" s="31">
        <v>4</v>
      </c>
      <c r="I99" s="25"/>
      <c r="J99" s="32">
        <v>2</v>
      </c>
      <c r="K99" s="25"/>
      <c r="L99" s="31">
        <v>4</v>
      </c>
      <c r="M99" s="33"/>
      <c r="N99" s="34">
        <f>SUM(H99:M99)</f>
        <v>10</v>
      </c>
      <c r="O99" s="48" t="s">
        <v>215</v>
      </c>
      <c r="P99" s="47">
        <v>23</v>
      </c>
      <c r="Q99" s="16">
        <f>SUM($P$99+N99)</f>
        <v>33</v>
      </c>
    </row>
    <row r="100" spans="1:17" ht="15">
      <c r="A100" s="26">
        <v>201</v>
      </c>
      <c r="B100" s="26">
        <v>76</v>
      </c>
      <c r="C100" s="26" t="s">
        <v>143</v>
      </c>
      <c r="D100" s="26" t="s">
        <v>173</v>
      </c>
      <c r="E100" s="26"/>
      <c r="F100" s="26"/>
      <c r="G100" s="26"/>
      <c r="H100" s="32">
        <v>2</v>
      </c>
      <c r="I100" s="25"/>
      <c r="J100" s="25"/>
      <c r="K100" s="35">
        <v>4</v>
      </c>
      <c r="L100" s="25"/>
      <c r="M100" s="31">
        <v>4</v>
      </c>
      <c r="N100" s="34">
        <f>SUM(H100:M100)</f>
        <v>10</v>
      </c>
      <c r="O100" s="48"/>
      <c r="P100" s="47"/>
      <c r="Q100" s="16">
        <f>SUM($P$99+N100)</f>
        <v>33</v>
      </c>
    </row>
    <row r="101" spans="1:17" ht="15">
      <c r="A101" s="27">
        <v>236</v>
      </c>
      <c r="B101" s="26">
        <v>45</v>
      </c>
      <c r="C101" s="26" t="s">
        <v>119</v>
      </c>
      <c r="D101" s="26" t="s">
        <v>120</v>
      </c>
      <c r="E101" s="27"/>
      <c r="F101" s="27"/>
      <c r="G101" s="27"/>
      <c r="H101" s="25"/>
      <c r="I101" s="31">
        <v>4</v>
      </c>
      <c r="J101" s="31">
        <v>4</v>
      </c>
      <c r="K101" s="25"/>
      <c r="L101" s="25"/>
      <c r="M101" s="32">
        <v>2</v>
      </c>
      <c r="N101" s="34">
        <f>SUM(H101:M101)</f>
        <v>10</v>
      </c>
      <c r="O101" s="48"/>
      <c r="P101" s="47"/>
      <c r="Q101" s="16">
        <f>SUM($P$99+N101)</f>
        <v>33</v>
      </c>
    </row>
    <row r="102" spans="1:17" ht="15.75">
      <c r="A102" s="26">
        <v>212</v>
      </c>
      <c r="B102" s="26">
        <v>58</v>
      </c>
      <c r="C102" s="26" t="s">
        <v>146</v>
      </c>
      <c r="D102" s="26" t="s">
        <v>147</v>
      </c>
      <c r="E102" s="26"/>
      <c r="F102" s="26"/>
      <c r="G102" s="26"/>
      <c r="H102" s="25"/>
      <c r="I102" s="35" t="s">
        <v>194</v>
      </c>
      <c r="J102" s="25"/>
      <c r="K102" s="31" t="s">
        <v>194</v>
      </c>
      <c r="L102" s="35">
        <v>2</v>
      </c>
      <c r="M102" s="33"/>
      <c r="N102" s="34">
        <f>SUM(H102:M102)</f>
        <v>2</v>
      </c>
      <c r="O102" s="48"/>
      <c r="P102" s="47"/>
      <c r="Q102" s="16">
        <f>SUM($P$99+N102)</f>
        <v>25</v>
      </c>
    </row>
    <row r="104" spans="1:17" ht="15.75">
      <c r="A104" s="26">
        <v>189</v>
      </c>
      <c r="B104" s="27">
        <v>73</v>
      </c>
      <c r="C104" s="27" t="s">
        <v>141</v>
      </c>
      <c r="D104" s="27" t="s">
        <v>137</v>
      </c>
      <c r="E104" s="26"/>
      <c r="F104" s="26"/>
      <c r="G104" s="26"/>
      <c r="H104" s="31">
        <v>4</v>
      </c>
      <c r="I104" s="25"/>
      <c r="J104" s="32">
        <v>2</v>
      </c>
      <c r="K104" s="25"/>
      <c r="L104" s="31">
        <v>4</v>
      </c>
      <c r="M104" s="33"/>
      <c r="N104" s="34">
        <f>SUM(H104:M104)</f>
        <v>10</v>
      </c>
      <c r="O104" s="48" t="s">
        <v>216</v>
      </c>
      <c r="P104" s="47">
        <v>24</v>
      </c>
      <c r="Q104" s="16">
        <f>SUM($P$104+N104)</f>
        <v>34</v>
      </c>
    </row>
    <row r="105" spans="1:17" ht="15">
      <c r="A105" s="26">
        <v>178</v>
      </c>
      <c r="B105" s="26">
        <v>60</v>
      </c>
      <c r="C105" s="26" t="s">
        <v>150</v>
      </c>
      <c r="D105" s="26" t="s">
        <v>151</v>
      </c>
      <c r="E105" s="26"/>
      <c r="F105" s="26"/>
      <c r="G105" s="26"/>
      <c r="H105" s="32">
        <v>2</v>
      </c>
      <c r="I105" s="25"/>
      <c r="J105" s="25"/>
      <c r="K105" s="35">
        <v>2</v>
      </c>
      <c r="L105" s="25"/>
      <c r="M105" s="31">
        <v>4</v>
      </c>
      <c r="N105" s="34">
        <f>SUM(H105:M105)</f>
        <v>8</v>
      </c>
      <c r="O105" s="48"/>
      <c r="P105" s="47"/>
      <c r="Q105" s="16">
        <f>SUM($P$104+N105)</f>
        <v>32</v>
      </c>
    </row>
    <row r="106" spans="1:17" ht="15">
      <c r="A106" s="27">
        <v>197</v>
      </c>
      <c r="B106" s="26">
        <v>65</v>
      </c>
      <c r="C106" s="26" t="s">
        <v>157</v>
      </c>
      <c r="D106" s="26" t="s">
        <v>158</v>
      </c>
      <c r="E106" s="27"/>
      <c r="F106" s="27"/>
      <c r="G106" s="27"/>
      <c r="H106" s="25"/>
      <c r="I106" s="31">
        <v>4</v>
      </c>
      <c r="J106" s="31">
        <v>4</v>
      </c>
      <c r="K106" s="25"/>
      <c r="L106" s="25"/>
      <c r="M106" s="32">
        <v>2</v>
      </c>
      <c r="N106" s="34">
        <f>SUM(H106:M106)</f>
        <v>10</v>
      </c>
      <c r="O106" s="48"/>
      <c r="P106" s="47"/>
      <c r="Q106" s="16">
        <f>SUM($P$104+N106)</f>
        <v>34</v>
      </c>
    </row>
    <row r="107" spans="1:17" ht="15.75">
      <c r="A107" s="26">
        <v>262</v>
      </c>
      <c r="B107" s="26">
        <v>63</v>
      </c>
      <c r="C107" s="26" t="s">
        <v>154</v>
      </c>
      <c r="D107" s="26" t="s">
        <v>155</v>
      </c>
      <c r="E107" s="26"/>
      <c r="F107" s="26"/>
      <c r="G107" s="26"/>
      <c r="H107" s="25"/>
      <c r="I107" s="35">
        <v>2</v>
      </c>
      <c r="J107" s="25"/>
      <c r="K107" s="31">
        <v>4</v>
      </c>
      <c r="L107" s="35">
        <v>2</v>
      </c>
      <c r="M107" s="33"/>
      <c r="N107" s="34">
        <f>SUM(H107:M107)</f>
        <v>8</v>
      </c>
      <c r="O107" s="48"/>
      <c r="P107" s="47"/>
      <c r="Q107" s="16">
        <f>SUM($P$104+N107)</f>
        <v>32</v>
      </c>
    </row>
    <row r="109" spans="1:17" ht="15.75">
      <c r="A109" s="26">
        <v>246</v>
      </c>
      <c r="B109" s="26">
        <v>71</v>
      </c>
      <c r="C109" s="26" t="s">
        <v>165</v>
      </c>
      <c r="D109" s="26" t="s">
        <v>166</v>
      </c>
      <c r="E109" s="26"/>
      <c r="F109" s="26"/>
      <c r="G109" s="26"/>
      <c r="H109" s="31">
        <v>4</v>
      </c>
      <c r="I109" s="25"/>
      <c r="J109" s="32">
        <v>2</v>
      </c>
      <c r="K109" s="25"/>
      <c r="L109" s="31">
        <v>4</v>
      </c>
      <c r="M109" s="33"/>
      <c r="N109" s="34">
        <f>SUM(H109:M109)</f>
        <v>10</v>
      </c>
      <c r="O109" s="48" t="s">
        <v>217</v>
      </c>
      <c r="P109" s="47">
        <v>25</v>
      </c>
      <c r="Q109" s="16">
        <f>SUM($P$109+N109)</f>
        <v>35</v>
      </c>
    </row>
    <row r="110" spans="1:17" ht="15">
      <c r="A110" s="26">
        <v>289</v>
      </c>
      <c r="B110" s="27">
        <v>70</v>
      </c>
      <c r="C110" s="27" t="s">
        <v>116</v>
      </c>
      <c r="D110" s="27" t="s">
        <v>164</v>
      </c>
      <c r="E110" s="26"/>
      <c r="F110" s="26"/>
      <c r="G110" s="26"/>
      <c r="H110" s="32">
        <v>2</v>
      </c>
      <c r="I110" s="25"/>
      <c r="J110" s="25"/>
      <c r="K110" s="35">
        <v>2</v>
      </c>
      <c r="L110" s="25"/>
      <c r="M110" s="31" t="s">
        <v>194</v>
      </c>
      <c r="N110" s="34">
        <f>SUM(H110:M110)</f>
        <v>4</v>
      </c>
      <c r="O110" s="48"/>
      <c r="P110" s="47"/>
      <c r="Q110" s="16">
        <f>SUM($P$109+N110)</f>
        <v>29</v>
      </c>
    </row>
    <row r="111" spans="1:17" ht="15">
      <c r="A111" s="27">
        <v>190</v>
      </c>
      <c r="B111" s="26">
        <v>56</v>
      </c>
      <c r="C111" s="26" t="s">
        <v>141</v>
      </c>
      <c r="D111" s="26" t="s">
        <v>142</v>
      </c>
      <c r="E111" s="27"/>
      <c r="F111" s="27"/>
      <c r="G111" s="27"/>
      <c r="H111" s="25"/>
      <c r="I111" s="31">
        <v>4</v>
      </c>
      <c r="J111" s="31">
        <v>4</v>
      </c>
      <c r="K111" s="25"/>
      <c r="L111" s="25"/>
      <c r="M111" s="32">
        <v>4</v>
      </c>
      <c r="N111" s="34">
        <f>SUM(H111:M111)</f>
        <v>12</v>
      </c>
      <c r="O111" s="48"/>
      <c r="P111" s="47"/>
      <c r="Q111" s="16">
        <f>SUM($P$109+N111)</f>
        <v>37</v>
      </c>
    </row>
    <row r="112" spans="1:17" ht="15.75">
      <c r="A112" s="26">
        <v>170</v>
      </c>
      <c r="B112" s="26">
        <v>90</v>
      </c>
      <c r="C112" s="26" t="s">
        <v>129</v>
      </c>
      <c r="D112" s="26" t="s">
        <v>187</v>
      </c>
      <c r="E112" s="26"/>
      <c r="F112" s="26"/>
      <c r="G112" s="26"/>
      <c r="H112" s="25"/>
      <c r="I112" s="35">
        <v>2</v>
      </c>
      <c r="J112" s="25"/>
      <c r="K112" s="31">
        <v>4</v>
      </c>
      <c r="L112" s="35" t="s">
        <v>194</v>
      </c>
      <c r="M112" s="33"/>
      <c r="N112" s="34">
        <f>SUM(H112:M112)</f>
        <v>6</v>
      </c>
      <c r="O112" s="48"/>
      <c r="P112" s="47"/>
      <c r="Q112" s="16">
        <f>SUM($P$109+N112)</f>
        <v>31</v>
      </c>
    </row>
    <row r="114" spans="1:17" ht="15.75">
      <c r="A114" s="26"/>
      <c r="B114" s="26"/>
      <c r="C114" s="26"/>
      <c r="D114" s="26"/>
      <c r="E114" s="26"/>
      <c r="F114" s="26"/>
      <c r="G114" s="26"/>
      <c r="H114" s="31"/>
      <c r="I114" s="25"/>
      <c r="J114" s="32"/>
      <c r="K114" s="25"/>
      <c r="L114" s="31"/>
      <c r="M114" s="33"/>
      <c r="N114" s="34">
        <f>SUM(H114:M114)</f>
        <v>0</v>
      </c>
      <c r="O114" s="48" t="s">
        <v>30</v>
      </c>
      <c r="P114" s="47"/>
      <c r="Q114" s="16">
        <f>SUM($P$114+N114)</f>
        <v>0</v>
      </c>
    </row>
    <row r="115" spans="1:17" ht="15">
      <c r="A115" s="26"/>
      <c r="B115" s="26"/>
      <c r="C115" s="26"/>
      <c r="D115" s="26"/>
      <c r="E115" s="26"/>
      <c r="F115" s="26"/>
      <c r="G115" s="26"/>
      <c r="H115" s="32"/>
      <c r="I115" s="25"/>
      <c r="J115" s="25"/>
      <c r="K115" s="35"/>
      <c r="L115" s="25"/>
      <c r="M115" s="31"/>
      <c r="N115" s="34">
        <f>SUM(H115:M115)</f>
        <v>0</v>
      </c>
      <c r="O115" s="48"/>
      <c r="P115" s="47"/>
      <c r="Q115" s="16">
        <f>SUM($P$114+N115)</f>
        <v>0</v>
      </c>
    </row>
    <row r="116" spans="1:17" ht="15">
      <c r="A116" s="27"/>
      <c r="B116" s="27"/>
      <c r="C116" s="27"/>
      <c r="D116" s="27"/>
      <c r="E116" s="27"/>
      <c r="F116" s="27"/>
      <c r="G116" s="27"/>
      <c r="H116" s="25"/>
      <c r="I116" s="31"/>
      <c r="J116" s="31"/>
      <c r="K116" s="25"/>
      <c r="L116" s="25"/>
      <c r="M116" s="32"/>
      <c r="N116" s="34">
        <f>SUM(H116:M116)</f>
        <v>0</v>
      </c>
      <c r="O116" s="48"/>
      <c r="P116" s="47"/>
      <c r="Q116" s="16">
        <f>SUM($P$114+N116)</f>
        <v>0</v>
      </c>
    </row>
    <row r="117" spans="1:17" ht="15.75">
      <c r="A117" s="26"/>
      <c r="B117" s="26"/>
      <c r="C117" s="26"/>
      <c r="D117" s="26"/>
      <c r="E117" s="26"/>
      <c r="F117" s="26"/>
      <c r="G117" s="26"/>
      <c r="H117" s="25"/>
      <c r="I117" s="35"/>
      <c r="J117" s="25"/>
      <c r="K117" s="31"/>
      <c r="L117" s="35"/>
      <c r="M117" s="33"/>
      <c r="N117" s="34">
        <f>SUM(H117:M117)</f>
        <v>0</v>
      </c>
      <c r="O117" s="48"/>
      <c r="P117" s="47"/>
      <c r="Q117" s="16">
        <f>SUM($P$114+N117)</f>
        <v>0</v>
      </c>
    </row>
    <row r="119" spans="1:17" ht="15.75">
      <c r="A119" s="26"/>
      <c r="B119" s="26"/>
      <c r="C119" s="26"/>
      <c r="D119" s="26"/>
      <c r="E119" s="26"/>
      <c r="F119" s="26"/>
      <c r="G119" s="26"/>
      <c r="H119" s="31"/>
      <c r="I119" s="25"/>
      <c r="J119" s="32"/>
      <c r="K119" s="25"/>
      <c r="L119" s="31"/>
      <c r="M119" s="33"/>
      <c r="N119" s="34">
        <f>SUM(H119:M119)</f>
        <v>0</v>
      </c>
      <c r="O119" s="48" t="s">
        <v>30</v>
      </c>
      <c r="P119" s="47"/>
      <c r="Q119" s="16">
        <f>SUM($P$119+N119)</f>
        <v>0</v>
      </c>
    </row>
    <row r="120" spans="1:17" ht="15">
      <c r="A120" s="26"/>
      <c r="B120" s="26"/>
      <c r="C120" s="26"/>
      <c r="D120" s="26"/>
      <c r="E120" s="26"/>
      <c r="F120" s="26"/>
      <c r="G120" s="26"/>
      <c r="H120" s="32"/>
      <c r="I120" s="25"/>
      <c r="J120" s="25"/>
      <c r="K120" s="35"/>
      <c r="L120" s="25"/>
      <c r="M120" s="31"/>
      <c r="N120" s="34">
        <f>SUM(H120:M120)</f>
        <v>0</v>
      </c>
      <c r="O120" s="48"/>
      <c r="P120" s="47"/>
      <c r="Q120" s="16">
        <f>SUM($P$119+N120)</f>
        <v>0</v>
      </c>
    </row>
    <row r="121" spans="1:17" ht="15">
      <c r="A121" s="27"/>
      <c r="B121" s="27"/>
      <c r="C121" s="27"/>
      <c r="D121" s="27"/>
      <c r="E121" s="27"/>
      <c r="F121" s="27"/>
      <c r="G121" s="27"/>
      <c r="H121" s="25"/>
      <c r="I121" s="31"/>
      <c r="J121" s="31"/>
      <c r="K121" s="25"/>
      <c r="L121" s="25"/>
      <c r="M121" s="32"/>
      <c r="N121" s="34">
        <f>SUM(H121:M121)</f>
        <v>0</v>
      </c>
      <c r="O121" s="48"/>
      <c r="P121" s="47"/>
      <c r="Q121" s="16">
        <f>SUM($P$119+N121)</f>
        <v>0</v>
      </c>
    </row>
    <row r="122" spans="1:17" ht="15.75">
      <c r="A122" s="26"/>
      <c r="B122" s="26"/>
      <c r="C122" s="26"/>
      <c r="D122" s="26"/>
      <c r="E122" s="26"/>
      <c r="F122" s="26"/>
      <c r="G122" s="26"/>
      <c r="H122" s="25"/>
      <c r="I122" s="35"/>
      <c r="J122" s="25"/>
      <c r="K122" s="31"/>
      <c r="L122" s="35"/>
      <c r="M122" s="33"/>
      <c r="N122" s="34">
        <f>SUM(H122:M122)</f>
        <v>0</v>
      </c>
      <c r="O122" s="48"/>
      <c r="P122" s="47"/>
      <c r="Q122" s="16">
        <f>SUM($P$119+N122)</f>
        <v>0</v>
      </c>
    </row>
    <row r="123" spans="1:16" s="16" customFormat="1" ht="15.75">
      <c r="A123" s="6"/>
      <c r="B123" s="6"/>
      <c r="C123" s="6"/>
      <c r="D123" s="6"/>
      <c r="E123" s="6"/>
      <c r="F123" s="6"/>
      <c r="G123" s="6"/>
      <c r="H123" s="39"/>
      <c r="I123" s="39"/>
      <c r="J123" s="39"/>
      <c r="K123" s="39"/>
      <c r="L123" s="39"/>
      <c r="M123" s="40"/>
      <c r="O123" s="41"/>
      <c r="P123" s="43"/>
    </row>
    <row r="125" spans="1:16" ht="15.75">
      <c r="A125" s="26"/>
      <c r="B125" s="26"/>
      <c r="C125" s="26"/>
      <c r="D125" s="26"/>
      <c r="E125" s="26"/>
      <c r="F125" s="26"/>
      <c r="G125" s="26"/>
      <c r="H125" s="31"/>
      <c r="I125" s="25"/>
      <c r="J125" s="32"/>
      <c r="K125" s="25"/>
      <c r="L125" s="31"/>
      <c r="M125" s="33"/>
      <c r="N125" s="34"/>
      <c r="O125" s="48" t="s">
        <v>30</v>
      </c>
      <c r="P125" s="47"/>
    </row>
    <row r="126" spans="1:16" ht="15">
      <c r="A126" s="26"/>
      <c r="B126" s="26"/>
      <c r="C126" s="26"/>
      <c r="D126" s="26"/>
      <c r="E126" s="26"/>
      <c r="F126" s="26"/>
      <c r="G126" s="26"/>
      <c r="H126" s="32"/>
      <c r="I126" s="25"/>
      <c r="J126" s="25"/>
      <c r="K126" s="35"/>
      <c r="L126" s="25"/>
      <c r="M126" s="31"/>
      <c r="N126" s="34"/>
      <c r="O126" s="48"/>
      <c r="P126" s="47"/>
    </row>
    <row r="127" spans="1:16" ht="15">
      <c r="A127" s="27"/>
      <c r="B127" s="27"/>
      <c r="C127" s="27"/>
      <c r="D127" s="27"/>
      <c r="E127" s="27"/>
      <c r="F127" s="27"/>
      <c r="G127" s="27"/>
      <c r="H127" s="25"/>
      <c r="I127" s="31"/>
      <c r="J127" s="31"/>
      <c r="K127" s="25"/>
      <c r="L127" s="25"/>
      <c r="M127" s="32"/>
      <c r="N127" s="34"/>
      <c r="O127" s="48"/>
      <c r="P127" s="47"/>
    </row>
    <row r="128" spans="1:16" ht="15.75">
      <c r="A128" s="26"/>
      <c r="B128" s="26"/>
      <c r="C128" s="26"/>
      <c r="D128" s="26"/>
      <c r="E128" s="26"/>
      <c r="F128" s="26"/>
      <c r="G128" s="26"/>
      <c r="H128" s="25"/>
      <c r="I128" s="35"/>
      <c r="J128" s="25"/>
      <c r="K128" s="31"/>
      <c r="L128" s="35"/>
      <c r="M128" s="33"/>
      <c r="N128" s="34"/>
      <c r="O128" s="48"/>
      <c r="P128" s="47"/>
    </row>
    <row r="130" spans="1:16" ht="15.75">
      <c r="A130" s="26"/>
      <c r="B130" s="26"/>
      <c r="C130" s="26"/>
      <c r="D130" s="26"/>
      <c r="E130" s="26"/>
      <c r="F130" s="26"/>
      <c r="G130" s="26"/>
      <c r="H130" s="31"/>
      <c r="I130" s="25"/>
      <c r="J130" s="32"/>
      <c r="K130" s="25"/>
      <c r="L130" s="31"/>
      <c r="M130" s="33"/>
      <c r="N130" s="34"/>
      <c r="O130" s="48" t="s">
        <v>30</v>
      </c>
      <c r="P130" s="47"/>
    </row>
    <row r="131" spans="1:16" ht="15">
      <c r="A131" s="26"/>
      <c r="B131" s="26"/>
      <c r="C131" s="26"/>
      <c r="D131" s="26"/>
      <c r="E131" s="26"/>
      <c r="F131" s="26"/>
      <c r="G131" s="26"/>
      <c r="H131" s="32"/>
      <c r="I131" s="25"/>
      <c r="J131" s="25"/>
      <c r="K131" s="35"/>
      <c r="L131" s="25"/>
      <c r="M131" s="31"/>
      <c r="N131" s="34"/>
      <c r="O131" s="48"/>
      <c r="P131" s="47"/>
    </row>
    <row r="132" spans="1:16" ht="15">
      <c r="A132" s="27"/>
      <c r="B132" s="27"/>
      <c r="C132" s="27"/>
      <c r="D132" s="27"/>
      <c r="E132" s="27"/>
      <c r="F132" s="27"/>
      <c r="G132" s="27"/>
      <c r="H132" s="25"/>
      <c r="I132" s="31"/>
      <c r="J132" s="31"/>
      <c r="K132" s="25"/>
      <c r="L132" s="25"/>
      <c r="M132" s="32"/>
      <c r="N132" s="34"/>
      <c r="O132" s="48"/>
      <c r="P132" s="47"/>
    </row>
    <row r="133" spans="1:16" ht="15.75">
      <c r="A133" s="26"/>
      <c r="B133" s="26"/>
      <c r="C133" s="26"/>
      <c r="D133" s="26"/>
      <c r="E133" s="26"/>
      <c r="F133" s="26"/>
      <c r="G133" s="26"/>
      <c r="H133" s="25"/>
      <c r="I133" s="35"/>
      <c r="J133" s="25"/>
      <c r="K133" s="31"/>
      <c r="L133" s="35"/>
      <c r="M133" s="33"/>
      <c r="N133" s="34"/>
      <c r="O133" s="48"/>
      <c r="P133" s="47"/>
    </row>
    <row r="135" spans="1:16" ht="15.75">
      <c r="A135" s="26"/>
      <c r="B135" s="26"/>
      <c r="C135" s="26"/>
      <c r="D135" s="26"/>
      <c r="E135" s="26"/>
      <c r="F135" s="26"/>
      <c r="G135" s="26"/>
      <c r="H135" s="31"/>
      <c r="I135" s="25"/>
      <c r="J135" s="32"/>
      <c r="K135" s="25"/>
      <c r="L135" s="31"/>
      <c r="M135" s="33"/>
      <c r="N135" s="34"/>
      <c r="O135" s="48" t="s">
        <v>30</v>
      </c>
      <c r="P135" s="47"/>
    </row>
    <row r="136" spans="1:16" ht="15">
      <c r="A136" s="26"/>
      <c r="B136" s="26"/>
      <c r="C136" s="26"/>
      <c r="D136" s="26"/>
      <c r="E136" s="26"/>
      <c r="F136" s="26"/>
      <c r="G136" s="26"/>
      <c r="H136" s="32"/>
      <c r="I136" s="25"/>
      <c r="J136" s="25"/>
      <c r="K136" s="35"/>
      <c r="L136" s="25"/>
      <c r="M136" s="31"/>
      <c r="N136" s="34"/>
      <c r="O136" s="48"/>
      <c r="P136" s="47"/>
    </row>
    <row r="137" spans="1:16" ht="15">
      <c r="A137" s="27"/>
      <c r="B137" s="27"/>
      <c r="C137" s="27"/>
      <c r="D137" s="27"/>
      <c r="E137" s="27"/>
      <c r="F137" s="27"/>
      <c r="G137" s="27"/>
      <c r="H137" s="25"/>
      <c r="I137" s="31"/>
      <c r="J137" s="31"/>
      <c r="K137" s="25"/>
      <c r="L137" s="25"/>
      <c r="M137" s="32"/>
      <c r="N137" s="34"/>
      <c r="O137" s="48"/>
      <c r="P137" s="47"/>
    </row>
    <row r="138" spans="1:16" ht="15.75">
      <c r="A138" s="26"/>
      <c r="B138" s="26"/>
      <c r="C138" s="26"/>
      <c r="D138" s="26"/>
      <c r="E138" s="26"/>
      <c r="F138" s="26"/>
      <c r="G138" s="26"/>
      <c r="H138" s="25"/>
      <c r="I138" s="35"/>
      <c r="J138" s="25"/>
      <c r="K138" s="31"/>
      <c r="L138" s="35"/>
      <c r="M138" s="33"/>
      <c r="N138" s="34"/>
      <c r="O138" s="48"/>
      <c r="P138" s="47"/>
    </row>
    <row r="140" spans="1:16" ht="15.75">
      <c r="A140" s="26"/>
      <c r="B140" s="26"/>
      <c r="C140" s="26"/>
      <c r="D140" s="26"/>
      <c r="E140" s="26"/>
      <c r="F140" s="26"/>
      <c r="G140" s="26"/>
      <c r="H140" s="31"/>
      <c r="I140" s="25"/>
      <c r="J140" s="32"/>
      <c r="K140" s="25"/>
      <c r="L140" s="31"/>
      <c r="M140" s="33"/>
      <c r="N140" s="34"/>
      <c r="O140" s="48" t="s">
        <v>30</v>
      </c>
      <c r="P140" s="47"/>
    </row>
    <row r="141" spans="1:16" ht="15">
      <c r="A141" s="26"/>
      <c r="B141" s="26"/>
      <c r="C141" s="26"/>
      <c r="D141" s="26"/>
      <c r="E141" s="26"/>
      <c r="F141" s="26"/>
      <c r="G141" s="26"/>
      <c r="H141" s="32"/>
      <c r="I141" s="25"/>
      <c r="J141" s="25"/>
      <c r="K141" s="35"/>
      <c r="L141" s="25"/>
      <c r="M141" s="31"/>
      <c r="N141" s="34"/>
      <c r="O141" s="48"/>
      <c r="P141" s="47"/>
    </row>
    <row r="142" spans="1:16" ht="15">
      <c r="A142" s="27"/>
      <c r="B142" s="27"/>
      <c r="C142" s="27"/>
      <c r="D142" s="27"/>
      <c r="E142" s="27"/>
      <c r="F142" s="27"/>
      <c r="G142" s="27"/>
      <c r="H142" s="25"/>
      <c r="I142" s="31"/>
      <c r="J142" s="31"/>
      <c r="K142" s="25"/>
      <c r="L142" s="25"/>
      <c r="M142" s="32"/>
      <c r="N142" s="34"/>
      <c r="O142" s="48"/>
      <c r="P142" s="47"/>
    </row>
    <row r="143" spans="1:16" ht="15.75">
      <c r="A143" s="26"/>
      <c r="B143" s="26"/>
      <c r="C143" s="26"/>
      <c r="D143" s="26"/>
      <c r="E143" s="26"/>
      <c r="F143" s="26"/>
      <c r="G143" s="26"/>
      <c r="H143" s="25"/>
      <c r="I143" s="35"/>
      <c r="J143" s="25"/>
      <c r="K143" s="31"/>
      <c r="L143" s="35"/>
      <c r="M143" s="33"/>
      <c r="N143" s="34"/>
      <c r="O143" s="48"/>
      <c r="P143" s="47"/>
    </row>
    <row r="145" spans="1:16" ht="15.75">
      <c r="A145" s="26"/>
      <c r="B145" s="26"/>
      <c r="C145" s="26"/>
      <c r="D145" s="26"/>
      <c r="E145" s="26"/>
      <c r="F145" s="26"/>
      <c r="G145" s="26"/>
      <c r="H145" s="31"/>
      <c r="I145" s="25"/>
      <c r="J145" s="32"/>
      <c r="K145" s="25"/>
      <c r="L145" s="31"/>
      <c r="M145" s="33"/>
      <c r="N145" s="34"/>
      <c r="O145" s="48" t="s">
        <v>30</v>
      </c>
      <c r="P145" s="47"/>
    </row>
    <row r="146" spans="1:16" ht="15">
      <c r="A146" s="26"/>
      <c r="B146" s="26"/>
      <c r="C146" s="26"/>
      <c r="D146" s="26"/>
      <c r="E146" s="26"/>
      <c r="F146" s="26"/>
      <c r="G146" s="26"/>
      <c r="H146" s="32"/>
      <c r="I146" s="25"/>
      <c r="J146" s="25"/>
      <c r="K146" s="35"/>
      <c r="L146" s="25"/>
      <c r="M146" s="31"/>
      <c r="N146" s="34"/>
      <c r="O146" s="48"/>
      <c r="P146" s="47"/>
    </row>
    <row r="147" spans="1:16" ht="15">
      <c r="A147" s="27"/>
      <c r="B147" s="27"/>
      <c r="C147" s="27"/>
      <c r="D147" s="27"/>
      <c r="E147" s="27"/>
      <c r="F147" s="27"/>
      <c r="G147" s="27"/>
      <c r="H147" s="25"/>
      <c r="I147" s="31"/>
      <c r="J147" s="31"/>
      <c r="K147" s="25"/>
      <c r="L147" s="25"/>
      <c r="M147" s="32"/>
      <c r="N147" s="34"/>
      <c r="O147" s="48"/>
      <c r="P147" s="47"/>
    </row>
    <row r="148" spans="1:16" ht="15.75">
      <c r="A148" s="26"/>
      <c r="B148" s="26"/>
      <c r="C148" s="26"/>
      <c r="D148" s="26"/>
      <c r="E148" s="26"/>
      <c r="F148" s="26"/>
      <c r="G148" s="26"/>
      <c r="H148" s="25"/>
      <c r="I148" s="35"/>
      <c r="J148" s="25"/>
      <c r="K148" s="31"/>
      <c r="L148" s="35"/>
      <c r="M148" s="33"/>
      <c r="N148" s="34"/>
      <c r="O148" s="48"/>
      <c r="P148" s="47"/>
    </row>
    <row r="150" spans="1:16" ht="15.75">
      <c r="A150" s="26"/>
      <c r="B150" s="26"/>
      <c r="C150" s="26"/>
      <c r="D150" s="26"/>
      <c r="E150" s="26"/>
      <c r="F150" s="26"/>
      <c r="G150" s="26"/>
      <c r="H150" s="31"/>
      <c r="I150" s="25"/>
      <c r="J150" s="32"/>
      <c r="K150" s="25"/>
      <c r="L150" s="31"/>
      <c r="M150" s="33"/>
      <c r="N150" s="34"/>
      <c r="O150" s="48" t="s">
        <v>30</v>
      </c>
      <c r="P150" s="47"/>
    </row>
    <row r="151" spans="1:16" ht="15">
      <c r="A151" s="26"/>
      <c r="B151" s="26"/>
      <c r="C151" s="26"/>
      <c r="D151" s="26"/>
      <c r="E151" s="26"/>
      <c r="F151" s="26"/>
      <c r="G151" s="26"/>
      <c r="H151" s="32"/>
      <c r="I151" s="25"/>
      <c r="J151" s="25"/>
      <c r="K151" s="35"/>
      <c r="L151" s="25"/>
      <c r="M151" s="31"/>
      <c r="N151" s="34"/>
      <c r="O151" s="48"/>
      <c r="P151" s="47"/>
    </row>
    <row r="152" spans="1:16" ht="15">
      <c r="A152" s="27"/>
      <c r="B152" s="27"/>
      <c r="C152" s="27"/>
      <c r="D152" s="27"/>
      <c r="E152" s="27"/>
      <c r="F152" s="27"/>
      <c r="G152" s="27"/>
      <c r="H152" s="25"/>
      <c r="I152" s="31"/>
      <c r="J152" s="31"/>
      <c r="K152" s="25"/>
      <c r="L152" s="25"/>
      <c r="M152" s="32"/>
      <c r="N152" s="34"/>
      <c r="O152" s="48"/>
      <c r="P152" s="47"/>
    </row>
    <row r="153" spans="1:16" ht="15.75">
      <c r="A153" s="26"/>
      <c r="B153" s="26"/>
      <c r="C153" s="26"/>
      <c r="D153" s="26"/>
      <c r="E153" s="26"/>
      <c r="F153" s="26"/>
      <c r="G153" s="26"/>
      <c r="H153" s="25"/>
      <c r="I153" s="35"/>
      <c r="J153" s="25"/>
      <c r="K153" s="31"/>
      <c r="L153" s="35"/>
      <c r="M153" s="33"/>
      <c r="N153" s="34"/>
      <c r="O153" s="48"/>
      <c r="P153" s="47"/>
    </row>
  </sheetData>
  <mergeCells count="60">
    <mergeCell ref="O2:O5"/>
    <mergeCell ref="O7:O10"/>
    <mergeCell ref="O12:O15"/>
    <mergeCell ref="O17:O20"/>
    <mergeCell ref="O22:O25"/>
    <mergeCell ref="O27:O30"/>
    <mergeCell ref="O32:O35"/>
    <mergeCell ref="O37:O40"/>
    <mergeCell ref="O42:O45"/>
    <mergeCell ref="O47:O50"/>
    <mergeCell ref="O52:O55"/>
    <mergeCell ref="O57:O60"/>
    <mergeCell ref="O63:O66"/>
    <mergeCell ref="O68:O71"/>
    <mergeCell ref="O73:O76"/>
    <mergeCell ref="O78:O81"/>
    <mergeCell ref="O83:O86"/>
    <mergeCell ref="O88:O91"/>
    <mergeCell ref="O94:O97"/>
    <mergeCell ref="O99:O102"/>
    <mergeCell ref="O104:O107"/>
    <mergeCell ref="O109:O112"/>
    <mergeCell ref="O114:O117"/>
    <mergeCell ref="O119:O122"/>
    <mergeCell ref="O145:O148"/>
    <mergeCell ref="O150:O153"/>
    <mergeCell ref="O125:O128"/>
    <mergeCell ref="O130:O133"/>
    <mergeCell ref="O135:O138"/>
    <mergeCell ref="O140:O143"/>
    <mergeCell ref="P2:P5"/>
    <mergeCell ref="P7:P10"/>
    <mergeCell ref="P12:P15"/>
    <mergeCell ref="P17:P20"/>
    <mergeCell ref="P22:P25"/>
    <mergeCell ref="P27:P30"/>
    <mergeCell ref="P32:P35"/>
    <mergeCell ref="P37:P40"/>
    <mergeCell ref="P42:P45"/>
    <mergeCell ref="P47:P50"/>
    <mergeCell ref="P52:P55"/>
    <mergeCell ref="P57:P60"/>
    <mergeCell ref="P63:P66"/>
    <mergeCell ref="P68:P71"/>
    <mergeCell ref="P73:P76"/>
    <mergeCell ref="P78:P81"/>
    <mergeCell ref="P83:P86"/>
    <mergeCell ref="P88:P91"/>
    <mergeCell ref="P94:P97"/>
    <mergeCell ref="P99:P102"/>
    <mergeCell ref="P104:P107"/>
    <mergeCell ref="P109:P112"/>
    <mergeCell ref="P114:P117"/>
    <mergeCell ref="P119:P122"/>
    <mergeCell ref="P145:P148"/>
    <mergeCell ref="P150:P153"/>
    <mergeCell ref="P125:P128"/>
    <mergeCell ref="P130:P133"/>
    <mergeCell ref="P135:P138"/>
    <mergeCell ref="P140:P14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mfarr</cp:lastModifiedBy>
  <cp:lastPrinted>2007-11-22T10:22:04Z</cp:lastPrinted>
  <dcterms:created xsi:type="dcterms:W3CDTF">2007-10-13T19:11:31Z</dcterms:created>
  <dcterms:modified xsi:type="dcterms:W3CDTF">2007-11-22T10:22:52Z</dcterms:modified>
  <cp:category/>
  <cp:version/>
  <cp:contentType/>
  <cp:contentStatus/>
</cp:coreProperties>
</file>